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&amp;F\CSF\2017\"/>
    </mc:Choice>
  </mc:AlternateContent>
  <bookViews>
    <workbookView xWindow="0" yWindow="0" windowWidth="7470" windowHeight="6240" activeTab="1"/>
  </bookViews>
  <sheets>
    <sheet name="Balans" sheetId="1" r:id="rId1"/>
    <sheet name="Winst &amp; Verlies" sheetId="2" r:id="rId2"/>
    <sheet name="Criteria" sheetId="3" r:id="rId3"/>
  </sheets>
  <definedNames>
    <definedName name="_xlnm.Print_Area" localSheetId="0">Balans!$A$1:$K$73</definedName>
    <definedName name="_xlnm.Print_Area" localSheetId="1">'Winst &amp; Verlies'!$A$1:$K$73</definedName>
    <definedName name="_xlnm.Print_Titles" localSheetId="0">Balans!$1:$12</definedName>
    <definedName name="_xlnm.Print_Titles" localSheetId="2">Criteria!$1:$11</definedName>
    <definedName name="_xlnm.Print_Titles" localSheetId="1">'Winst &amp; Verlies'!$1:$12</definedName>
    <definedName name="ExactAddinReport1.Area" localSheetId="0" hidden="1">Balans!$A$1:$K$69</definedName>
    <definedName name="ExactAddinReport1.Data" localSheetId="0" hidden="1">"AfterEntry=-1;Baltype=B;Cat1=A;Cat2=B;Cat3=C;Cat4=D;Currency=EUR;ExRateDate=28-9-2018;FinYear1=2017;Ledger.from=;Ledger.to=999999999;Ledger.all=-1;Mutex2=R;Precision1=0;ReportDate_Fip=31-12-2017;TransType_Fip=S;XYears=1;YearEndBalance=0;ZeroBal1=0;but"</definedName>
    <definedName name="ExactAddinReport1.Data.2" localSheetId="0" hidden="1">"Info=0;fipCalMethod=1;fipCloseEntry=0;mtxAdvanced=1;System.Wizard=balance;System.Company=-1;System.Update=-1"</definedName>
    <definedName name="ExactAddinReports" hidden="1">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3" i="2" l="1"/>
  <c r="A67" i="2"/>
  <c r="B65" i="2"/>
  <c r="C63" i="2"/>
  <c r="D61" i="2"/>
  <c r="I60" i="2"/>
  <c r="J61" i="2" s="1"/>
  <c r="G60" i="2"/>
  <c r="G61" i="2" s="1"/>
  <c r="J59" i="2"/>
  <c r="H59" i="2"/>
  <c r="H61" i="2" s="1"/>
  <c r="H56" i="2"/>
  <c r="D56" i="2"/>
  <c r="J55" i="2"/>
  <c r="J56" i="2" s="1"/>
  <c r="H55" i="2"/>
  <c r="G56" i="2" s="1"/>
  <c r="I52" i="2"/>
  <c r="D52" i="2"/>
  <c r="J51" i="2"/>
  <c r="J52" i="2" s="1"/>
  <c r="G51" i="2"/>
  <c r="B46" i="2"/>
  <c r="C44" i="2"/>
  <c r="D42" i="2"/>
  <c r="I41" i="2"/>
  <c r="G41" i="2"/>
  <c r="K40" i="2"/>
  <c r="I40" i="2"/>
  <c r="G40" i="2"/>
  <c r="C36" i="2"/>
  <c r="D34" i="2"/>
  <c r="I33" i="2"/>
  <c r="J34" i="2" s="1"/>
  <c r="G33" i="2"/>
  <c r="K32" i="2"/>
  <c r="I32" i="2"/>
  <c r="I34" i="2" s="1"/>
  <c r="G32" i="2"/>
  <c r="G34" i="2" s="1"/>
  <c r="H29" i="2"/>
  <c r="D29" i="2"/>
  <c r="I28" i="2"/>
  <c r="G28" i="2"/>
  <c r="C24" i="2"/>
  <c r="I22" i="2"/>
  <c r="D22" i="2"/>
  <c r="I21" i="2"/>
  <c r="J22" i="2" s="1"/>
  <c r="G21" i="2"/>
  <c r="G22" i="2" s="1"/>
  <c r="H18" i="2"/>
  <c r="D18" i="2"/>
  <c r="I17" i="2"/>
  <c r="G17" i="2"/>
  <c r="A69" i="1"/>
  <c r="B67" i="1"/>
  <c r="C65" i="1"/>
  <c r="H63" i="1"/>
  <c r="D63" i="1"/>
  <c r="J62" i="1"/>
  <c r="I63" i="1" s="1"/>
  <c r="H62" i="1"/>
  <c r="G63" i="1" s="1"/>
  <c r="C58" i="1"/>
  <c r="D56" i="1"/>
  <c r="J55" i="1"/>
  <c r="J56" i="1" s="1"/>
  <c r="H55" i="1"/>
  <c r="H56" i="1" s="1"/>
  <c r="C51" i="1"/>
  <c r="H49" i="1"/>
  <c r="D49" i="1"/>
  <c r="J48" i="1"/>
  <c r="I49" i="1" s="1"/>
  <c r="H48" i="1"/>
  <c r="G49" i="1" s="1"/>
  <c r="B43" i="1"/>
  <c r="C41" i="1"/>
  <c r="I39" i="1"/>
  <c r="D39" i="1"/>
  <c r="I38" i="1"/>
  <c r="G38" i="1"/>
  <c r="C34" i="1"/>
  <c r="H32" i="1"/>
  <c r="D32" i="1"/>
  <c r="I31" i="1"/>
  <c r="G31" i="1"/>
  <c r="C27" i="1"/>
  <c r="I25" i="1"/>
  <c r="D25" i="1"/>
  <c r="K24" i="1"/>
  <c r="I24" i="1"/>
  <c r="G24" i="1"/>
  <c r="C20" i="1"/>
  <c r="H18" i="1"/>
  <c r="D18" i="1"/>
  <c r="I17" i="1"/>
  <c r="G17" i="1"/>
  <c r="J18" i="2" l="1"/>
  <c r="J29" i="2"/>
  <c r="H34" i="2"/>
  <c r="K34" i="2" s="1"/>
  <c r="K17" i="2"/>
  <c r="G18" i="2"/>
  <c r="H24" i="2" s="1"/>
  <c r="I18" i="2"/>
  <c r="H22" i="2"/>
  <c r="K22" i="2" s="1"/>
  <c r="J24" i="2"/>
  <c r="K28" i="2"/>
  <c r="G29" i="2"/>
  <c r="H36" i="2" s="1"/>
  <c r="I29" i="2"/>
  <c r="K33" i="2"/>
  <c r="K41" i="2"/>
  <c r="G42" i="2"/>
  <c r="H44" i="2" s="1"/>
  <c r="I42" i="2"/>
  <c r="H52" i="2"/>
  <c r="K55" i="2"/>
  <c r="I56" i="2"/>
  <c r="K56" i="2" s="1"/>
  <c r="K60" i="2"/>
  <c r="I61" i="2"/>
  <c r="K61" i="2" s="1"/>
  <c r="I63" i="2"/>
  <c r="K21" i="2"/>
  <c r="I24" i="2"/>
  <c r="H42" i="2"/>
  <c r="G44" i="2" s="1"/>
  <c r="J42" i="2"/>
  <c r="K51" i="2"/>
  <c r="G52" i="2"/>
  <c r="K59" i="2"/>
  <c r="J63" i="2"/>
  <c r="I65" i="2" s="1"/>
  <c r="G51" i="1"/>
  <c r="H51" i="1"/>
  <c r="G65" i="1"/>
  <c r="H65" i="1"/>
  <c r="J18" i="1"/>
  <c r="J32" i="1"/>
  <c r="K38" i="1"/>
  <c r="G39" i="1"/>
  <c r="H41" i="1" s="1"/>
  <c r="J49" i="1"/>
  <c r="I51" i="1" s="1"/>
  <c r="K55" i="1"/>
  <c r="G56" i="1"/>
  <c r="I56" i="1"/>
  <c r="J63" i="1"/>
  <c r="I65" i="1" s="1"/>
  <c r="G25" i="1"/>
  <c r="H27" i="1" s="1"/>
  <c r="K17" i="1"/>
  <c r="G18" i="1"/>
  <c r="H20" i="1" s="1"/>
  <c r="I18" i="1"/>
  <c r="G20" i="1"/>
  <c r="I20" i="1"/>
  <c r="H25" i="1"/>
  <c r="G27" i="1" s="1"/>
  <c r="J25" i="1"/>
  <c r="K25" i="1" s="1"/>
  <c r="K31" i="1"/>
  <c r="G32" i="1"/>
  <c r="H34" i="1" s="1"/>
  <c r="I32" i="1"/>
  <c r="K32" i="1" s="1"/>
  <c r="H39" i="1"/>
  <c r="G41" i="1" s="1"/>
  <c r="J39" i="1"/>
  <c r="I41" i="1" s="1"/>
  <c r="K48" i="1"/>
  <c r="K62" i="1"/>
  <c r="K42" i="2" l="1"/>
  <c r="K29" i="2"/>
  <c r="K18" i="2"/>
  <c r="J44" i="2"/>
  <c r="I44" i="2"/>
  <c r="K44" i="2" s="1"/>
  <c r="I36" i="2"/>
  <c r="H63" i="2"/>
  <c r="K52" i="2"/>
  <c r="G65" i="2"/>
  <c r="G63" i="2"/>
  <c r="H65" i="2" s="1"/>
  <c r="G24" i="2"/>
  <c r="J36" i="2"/>
  <c r="I46" i="2" s="1"/>
  <c r="J65" i="2"/>
  <c r="K65" i="2" s="1"/>
  <c r="G36" i="2"/>
  <c r="K18" i="1"/>
  <c r="H58" i="1"/>
  <c r="G58" i="1"/>
  <c r="K39" i="1"/>
  <c r="J20" i="1"/>
  <c r="K20" i="1" s="1"/>
  <c r="J51" i="1"/>
  <c r="K51" i="1" s="1"/>
  <c r="K49" i="1"/>
  <c r="G34" i="1"/>
  <c r="K63" i="1"/>
  <c r="J27" i="1"/>
  <c r="J41" i="1"/>
  <c r="K41" i="1" s="1"/>
  <c r="J58" i="1"/>
  <c r="I58" i="1"/>
  <c r="K56" i="1"/>
  <c r="J34" i="1"/>
  <c r="I27" i="1"/>
  <c r="J65" i="1"/>
  <c r="K65" i="1" s="1"/>
  <c r="H67" i="1"/>
  <c r="G67" i="1"/>
  <c r="I34" i="1"/>
  <c r="H46" i="2" l="1"/>
  <c r="G46" i="2"/>
  <c r="G67" i="2" s="1"/>
  <c r="K36" i="2"/>
  <c r="J46" i="2"/>
  <c r="K46" i="2" s="1"/>
  <c r="K63" i="2"/>
  <c r="I67" i="2"/>
  <c r="K24" i="2"/>
  <c r="K34" i="1"/>
  <c r="K27" i="1"/>
  <c r="J43" i="1"/>
  <c r="I43" i="1"/>
  <c r="K58" i="1"/>
  <c r="G43" i="1"/>
  <c r="H69" i="1" s="1"/>
  <c r="J67" i="1"/>
  <c r="I69" i="1" s="1"/>
  <c r="H43" i="1"/>
  <c r="J69" i="1"/>
  <c r="I67" i="1"/>
  <c r="H67" i="2" l="1"/>
  <c r="G69" i="2"/>
  <c r="G71" i="2" s="1"/>
  <c r="G73" i="2" s="1"/>
  <c r="J67" i="2"/>
  <c r="J69" i="2" s="1"/>
  <c r="A69" i="2"/>
  <c r="J71" i="1"/>
  <c r="J73" i="1" s="1"/>
  <c r="K67" i="1"/>
  <c r="I71" i="1"/>
  <c r="K43" i="1"/>
  <c r="G69" i="1"/>
  <c r="K67" i="2" l="1"/>
  <c r="H69" i="2"/>
  <c r="H71" i="2" s="1"/>
  <c r="H73" i="2" s="1"/>
  <c r="J71" i="2"/>
  <c r="J73" i="2" s="1"/>
  <c r="I69" i="2"/>
  <c r="K69" i="1"/>
  <c r="A71" i="1"/>
  <c r="G71" i="1"/>
  <c r="G73" i="1" s="1"/>
  <c r="H71" i="1"/>
  <c r="H73" i="1" s="1"/>
  <c r="I73" i="1"/>
  <c r="K69" i="2" l="1"/>
  <c r="I71" i="2"/>
  <c r="I73" i="2" s="1"/>
  <c r="K71" i="1"/>
</calcChain>
</file>

<file path=xl/sharedStrings.xml><?xml version="1.0" encoding="utf-8"?>
<sst xmlns="http://schemas.openxmlformats.org/spreadsheetml/2006/main" count="143" uniqueCount="109">
  <si>
    <t>Bedrijf 004 Stichting Co Schippers Fonds</t>
  </si>
  <si>
    <t>Balans - Bj 2017</t>
  </si>
  <si>
    <t>Op rapportage datum</t>
  </si>
  <si>
    <t>Vanaf rapportage datum</t>
  </si>
  <si>
    <t>T/m</t>
  </si>
  <si>
    <t>Vanaf GB-rekening</t>
  </si>
  <si>
    <t>Alle</t>
  </si>
  <si>
    <t/>
  </si>
  <si>
    <t>Onverwerkt</t>
  </si>
  <si>
    <t>Ja</t>
  </si>
  <si>
    <t>Valuta EUR x</t>
  </si>
  <si>
    <t>Winst &amp; Verlies - Bj 2017</t>
  </si>
  <si>
    <t>Balans - Selectiecriteria</t>
  </si>
  <si>
    <t>Van</t>
  </si>
  <si>
    <t>Rapportage datum</t>
  </si>
  <si>
    <t>GB-rekening</t>
  </si>
  <si>
    <t>Lay-out</t>
  </si>
  <si>
    <t>Balans</t>
  </si>
  <si>
    <t>Precisie</t>
  </si>
  <si>
    <t>Jaren</t>
  </si>
  <si>
    <t>Eindcijfers</t>
  </si>
  <si>
    <t>Nee</t>
  </si>
  <si>
    <t>Nulsaldi</t>
  </si>
  <si>
    <t>Boekjaar</t>
  </si>
  <si>
    <t>Verslag</t>
  </si>
  <si>
    <t>Type</t>
  </si>
  <si>
    <t>Standaard</t>
  </si>
  <si>
    <t>Valuta</t>
  </si>
  <si>
    <t>EUR</t>
  </si>
  <si>
    <t>Categorieën</t>
  </si>
  <si>
    <t>Groepeer op 1</t>
  </si>
  <si>
    <t>Balans / Verlies en winst</t>
  </si>
  <si>
    <t>Groepeer op 2</t>
  </si>
  <si>
    <t>Hoofd paragraaf</t>
  </si>
  <si>
    <t>Groepeer op 3</t>
  </si>
  <si>
    <t>Paragraaf</t>
  </si>
  <si>
    <t>Groepeer op 4</t>
  </si>
  <si>
    <t>Sub paragraaf</t>
  </si>
  <si>
    <t>Saldo</t>
  </si>
  <si>
    <t>Debet</t>
  </si>
  <si>
    <t>Credit</t>
  </si>
  <si>
    <t>Afwijking %</t>
  </si>
  <si>
    <t>Activa</t>
  </si>
  <si>
    <t>Vaste activa</t>
  </si>
  <si>
    <t>Gebouwen en terreinen</t>
  </si>
  <si>
    <t xml:space="preserve">      110</t>
  </si>
  <si>
    <t>Onroerend Goed</t>
  </si>
  <si>
    <t>Financiële vaste activa</t>
  </si>
  <si>
    <t>Langlopende vorderingen</t>
  </si>
  <si>
    <t xml:space="preserve">      700</t>
  </si>
  <si>
    <t>Langlopende Leningen u/g</t>
  </si>
  <si>
    <t>Vlottende activa</t>
  </si>
  <si>
    <t>Overlopende Activa</t>
  </si>
  <si>
    <t xml:space="preserve">     1350</t>
  </si>
  <si>
    <t>Nog te ontvangen inkomsten</t>
  </si>
  <si>
    <t>Liquide middelen</t>
  </si>
  <si>
    <t>Bank</t>
  </si>
  <si>
    <t xml:space="preserve">     1200</t>
  </si>
  <si>
    <t>Giro</t>
  </si>
  <si>
    <t>Passiva</t>
  </si>
  <si>
    <t>Vreemd vermogen lang</t>
  </si>
  <si>
    <t>Langlopende schulden</t>
  </si>
  <si>
    <t xml:space="preserve">     1400</t>
  </si>
  <si>
    <t>Langlopende Leningen o/g</t>
  </si>
  <si>
    <t>Vreemd vermogen kort</t>
  </si>
  <si>
    <t>Voorzieningen</t>
  </si>
  <si>
    <t xml:space="preserve">     2400</t>
  </si>
  <si>
    <t>Nog te betalen kosten</t>
  </si>
  <si>
    <t>Eigen vermogen</t>
  </si>
  <si>
    <t>Winst en Verliesrekening</t>
  </si>
  <si>
    <t xml:space="preserve">     2500</t>
  </si>
  <si>
    <t>Algemene reserve</t>
  </si>
  <si>
    <t>Totaal Balans</t>
  </si>
  <si>
    <t>Resultatenrekening</t>
  </si>
  <si>
    <t>Kosten</t>
  </si>
  <si>
    <t>Overige kosten</t>
  </si>
  <si>
    <t xml:space="preserve">     4201</t>
  </si>
  <si>
    <t>Huur kantoor</t>
  </si>
  <si>
    <t xml:space="preserve">     4220</t>
  </si>
  <si>
    <t>Overige kosten onroerend goed</t>
  </si>
  <si>
    <t>Stichtingskosten</t>
  </si>
  <si>
    <t>Bestuur</t>
  </si>
  <si>
    <t xml:space="preserve">     4000</t>
  </si>
  <si>
    <t>Bestuursvergoedingen</t>
  </si>
  <si>
    <t>Administratiekosten</t>
  </si>
  <si>
    <t xml:space="preserve">     4800</t>
  </si>
  <si>
    <t xml:space="preserve">     9300</t>
  </si>
  <si>
    <t>Bankkosten</t>
  </si>
  <si>
    <t>Uitgaven</t>
  </si>
  <si>
    <t>Uitgaande donaties</t>
  </si>
  <si>
    <t xml:space="preserve">     7000</t>
  </si>
  <si>
    <t>Uitgaande Donaties</t>
  </si>
  <si>
    <t xml:space="preserve">     7090</t>
  </si>
  <si>
    <t>Uitgaande donaties Marie Schippers Fonds</t>
  </si>
  <si>
    <t>Opbrengsten</t>
  </si>
  <si>
    <t>Ontvangsten</t>
  </si>
  <si>
    <t>Ontvangen donaties</t>
  </si>
  <si>
    <t xml:space="preserve">     8000</t>
  </si>
  <si>
    <t>Ontvangen donaties Marie Schippers Fonds</t>
  </si>
  <si>
    <t>Ontvangen huur</t>
  </si>
  <si>
    <t xml:space="preserve">     8400</t>
  </si>
  <si>
    <t>Opbrengst huur</t>
  </si>
  <si>
    <t>Financiële resultaat</t>
  </si>
  <si>
    <t xml:space="preserve">     9400</t>
  </si>
  <si>
    <t>Rente opbrengsten</t>
  </si>
  <si>
    <t xml:space="preserve">     9500</t>
  </si>
  <si>
    <t>Rente kosten</t>
  </si>
  <si>
    <t>Totaal Winst &amp; Verlies</t>
  </si>
  <si>
    <t>Totaal Balans + Winst &amp; 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</si>
</sst>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\ mmmm\ yyyy"/>
    <numFmt numFmtId="165" formatCode="#,##0;\-#,##0;&quot; &quot;"/>
    <numFmt numFmtId="166" formatCode="#,##0%;\-#,##0%;&quot;&quot;"/>
    <numFmt numFmtId="167" formatCode="#,##0;\-#,##0;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9"/>
      <color theme="1"/>
      <name val="Verdana"/>
      <family val="2"/>
    </font>
    <font>
      <b/>
      <sz val="9"/>
      <color rgb="FFFFFFFF"/>
      <name val="Verdana"/>
      <family val="2"/>
    </font>
    <font>
      <b/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quotePrefix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6" fillId="0" borderId="0" xfId="0" quotePrefix="1" applyFont="1"/>
    <xf numFmtId="0" fontId="4" fillId="0" borderId="0" xfId="0" quotePrefix="1" applyFont="1" applyAlignment="1">
      <alignment horizontal="right"/>
    </xf>
    <xf numFmtId="0" fontId="4" fillId="0" borderId="0" xfId="0" quotePrefix="1" applyFont="1"/>
    <xf numFmtId="165" fontId="4" fillId="0" borderId="0" xfId="0" applyNumberFormat="1" applyFont="1"/>
    <xf numFmtId="166" fontId="4" fillId="0" borderId="0" xfId="0" applyNumberFormat="1" applyFont="1"/>
    <xf numFmtId="0" fontId="6" fillId="0" borderId="0" xfId="0" applyFont="1"/>
    <xf numFmtId="167" fontId="6" fillId="0" borderId="0" xfId="0" applyNumberFormat="1" applyFont="1"/>
    <xf numFmtId="166" fontId="6" fillId="0" borderId="0" xfId="0" applyNumberFormat="1" applyFont="1"/>
    <xf numFmtId="0" fontId="5" fillId="2" borderId="2" xfId="0" applyFont="1" applyFill="1" applyBorder="1"/>
    <xf numFmtId="0" fontId="5" fillId="2" borderId="3" xfId="0" applyFont="1" applyFill="1" applyBorder="1"/>
    <xf numFmtId="167" fontId="5" fillId="2" borderId="3" xfId="0" applyNumberFormat="1" applyFont="1" applyFill="1" applyBorder="1"/>
    <xf numFmtId="0" fontId="5" fillId="2" borderId="4" xfId="0" applyFont="1" applyFill="1" applyBorder="1"/>
    <xf numFmtId="166" fontId="5" fillId="2" borderId="4" xfId="0" applyNumberFormat="1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3"/>
  <sheetViews>
    <sheetView showGridLines="0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sqref="A1:J1"/>
    </sheetView>
  </sheetViews>
  <sheetFormatPr defaultRowHeight="15" outlineLevelRow="4" x14ac:dyDescent="0.25"/>
  <cols>
    <col min="1" max="4" width="2.7109375" customWidth="1"/>
    <col min="5" max="5" width="8.42578125" bestFit="1" customWidth="1"/>
    <col min="6" max="6" width="24.7109375" customWidth="1"/>
    <col min="7" max="7" width="16.7109375" customWidth="1"/>
    <col min="8" max="8" width="21.42578125" bestFit="1" customWidth="1"/>
    <col min="9" max="9" width="16.7109375" customWidth="1"/>
    <col min="10" max="10" width="19.7109375" bestFit="1" customWidth="1"/>
    <col min="11" max="11" width="16.7109375" customWidth="1"/>
    <col min="22" max="22" width="0" hidden="1" customWidth="1"/>
  </cols>
  <sheetData>
    <row r="1" spans="1:22" ht="19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V1">
        <v>1</v>
      </c>
    </row>
    <row r="2" spans="1:22" ht="19.5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  <c r="V2">
        <v>1000</v>
      </c>
    </row>
    <row r="3" spans="1:22" ht="19.5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  <c r="V3">
        <v>10000</v>
      </c>
    </row>
    <row r="4" spans="1:2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V4">
        <v>100000</v>
      </c>
    </row>
    <row r="5" spans="1:22" x14ac:dyDescent="0.25">
      <c r="A5" s="3" t="s">
        <v>3</v>
      </c>
      <c r="B5" s="3"/>
      <c r="C5" s="3"/>
      <c r="D5" s="3"/>
      <c r="E5" s="3"/>
      <c r="F5" s="4">
        <v>42736</v>
      </c>
      <c r="G5" s="2"/>
      <c r="H5" s="2" t="s">
        <v>5</v>
      </c>
      <c r="I5" s="2" t="s">
        <v>6</v>
      </c>
      <c r="J5" s="2"/>
      <c r="K5" s="2"/>
      <c r="V5">
        <v>1000000</v>
      </c>
    </row>
    <row r="6" spans="1:22" x14ac:dyDescent="0.25">
      <c r="A6" s="3" t="s">
        <v>4</v>
      </c>
      <c r="B6" s="3"/>
      <c r="C6" s="3"/>
      <c r="D6" s="3"/>
      <c r="E6" s="3"/>
      <c r="F6" s="4">
        <v>43100</v>
      </c>
      <c r="G6" s="2"/>
      <c r="H6" s="2" t="s">
        <v>4</v>
      </c>
      <c r="I6" s="5" t="s">
        <v>7</v>
      </c>
      <c r="J6" s="2"/>
      <c r="K6" s="2"/>
    </row>
    <row r="7" spans="1:22" x14ac:dyDescent="0.25">
      <c r="A7" s="3" t="s">
        <v>8</v>
      </c>
      <c r="B7" s="3"/>
      <c r="C7" s="3"/>
      <c r="D7" s="3"/>
      <c r="E7" s="3"/>
      <c r="F7" s="2" t="s">
        <v>9</v>
      </c>
      <c r="G7" s="2"/>
      <c r="H7" s="2"/>
      <c r="I7" s="2"/>
      <c r="J7" s="2"/>
      <c r="K7" s="2"/>
    </row>
    <row r="8" spans="1:2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2" x14ac:dyDescent="0.25">
      <c r="A9" s="2"/>
      <c r="B9" s="2"/>
      <c r="C9" s="2"/>
      <c r="D9" s="2"/>
      <c r="E9" s="2"/>
      <c r="F9" s="2"/>
      <c r="G9" s="2"/>
      <c r="H9" s="6" t="s">
        <v>10</v>
      </c>
      <c r="I9" s="7">
        <v>1</v>
      </c>
      <c r="J9" s="2"/>
      <c r="K9" s="2"/>
    </row>
    <row r="10" spans="1:2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22" x14ac:dyDescent="0.25">
      <c r="A11" s="10"/>
      <c r="B11" s="10"/>
      <c r="C11" s="10"/>
      <c r="D11" s="10"/>
      <c r="E11" s="10"/>
      <c r="F11" s="10"/>
      <c r="G11" s="11" t="s">
        <v>38</v>
      </c>
      <c r="H11" s="12">
        <v>43100</v>
      </c>
      <c r="I11" s="13" t="s">
        <v>38</v>
      </c>
      <c r="J11" s="14">
        <v>42735</v>
      </c>
      <c r="K11" s="10"/>
    </row>
    <row r="12" spans="1:22" x14ac:dyDescent="0.25">
      <c r="A12" s="13"/>
      <c r="B12" s="15"/>
      <c r="C12" s="15"/>
      <c r="D12" s="15"/>
      <c r="E12" s="15"/>
      <c r="F12" s="15"/>
      <c r="G12" s="16" t="s">
        <v>39</v>
      </c>
      <c r="H12" s="16" t="s">
        <v>40</v>
      </c>
      <c r="I12" s="16" t="s">
        <v>39</v>
      </c>
      <c r="J12" s="16" t="s">
        <v>40</v>
      </c>
      <c r="K12" s="16" t="s">
        <v>41</v>
      </c>
    </row>
    <row r="13" spans="1:22" outlineLevel="1" x14ac:dyDescent="0.25">
      <c r="A13" s="17" t="s">
        <v>17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22" outlineLevel="2" x14ac:dyDescent="0.25">
      <c r="A14" s="10"/>
      <c r="B14" s="17" t="s">
        <v>42</v>
      </c>
      <c r="C14" s="10"/>
      <c r="D14" s="10"/>
      <c r="E14" s="10"/>
      <c r="F14" s="10"/>
      <c r="G14" s="10"/>
      <c r="H14" s="10"/>
      <c r="I14" s="10"/>
      <c r="J14" s="10"/>
      <c r="K14" s="10"/>
    </row>
    <row r="15" spans="1:22" outlineLevel="3" x14ac:dyDescent="0.25">
      <c r="A15" s="10"/>
      <c r="B15" s="10"/>
      <c r="C15" s="17" t="s">
        <v>43</v>
      </c>
      <c r="D15" s="10"/>
      <c r="E15" s="10"/>
      <c r="F15" s="10"/>
      <c r="G15" s="10"/>
      <c r="H15" s="10"/>
      <c r="I15" s="10"/>
      <c r="J15" s="10"/>
      <c r="K15" s="10"/>
    </row>
    <row r="16" spans="1:22" outlineLevel="4" x14ac:dyDescent="0.25">
      <c r="A16" s="10"/>
      <c r="B16" s="10"/>
      <c r="C16" s="10"/>
      <c r="D16" s="17" t="s">
        <v>44</v>
      </c>
      <c r="E16" s="10"/>
      <c r="F16" s="10"/>
      <c r="G16" s="10"/>
      <c r="H16" s="10"/>
      <c r="I16" s="10"/>
      <c r="J16" s="10"/>
      <c r="K16" s="10"/>
    </row>
    <row r="17" spans="1:11" outlineLevel="4" x14ac:dyDescent="0.25">
      <c r="A17" s="10"/>
      <c r="B17" s="10"/>
      <c r="C17" s="10"/>
      <c r="D17" s="10"/>
      <c r="E17" s="18" t="s">
        <v>45</v>
      </c>
      <c r="F17" s="19" t="s">
        <v>46</v>
      </c>
      <c r="G17" s="20">
        <f xml:space="preserve"> 551857.26/I9</f>
        <v>551857.26</v>
      </c>
      <c r="H17" s="20"/>
      <c r="I17" s="20">
        <f xml:space="preserve"> 551857.26/I9</f>
        <v>551857.26</v>
      </c>
      <c r="J17" s="20"/>
      <c r="K17" s="21">
        <f>IF(ROUND(N($I$17),3) - ROUND(N($J$17),3)=0,0,(N($G$17)-N($H$17)-N($I$17)+N($J$17))/(N($I$17)-N($J$17)))</f>
        <v>0</v>
      </c>
    </row>
    <row r="18" spans="1:11" outlineLevel="3" x14ac:dyDescent="0.25">
      <c r="A18" s="10"/>
      <c r="B18" s="10"/>
      <c r="C18" s="10"/>
      <c r="D18" s="22" t="str">
        <f>CONCATENATE("Totaal"," ",$D$16)</f>
        <v>Totaal Gebouwen en terreinen</v>
      </c>
      <c r="E18" s="10"/>
      <c r="F18" s="10"/>
      <c r="G18" s="23">
        <f>IF(SUBTOTAL(9,$G$17)&gt;=SUBTOTAL(9,$H$17),SUBTOTAL(9,$G$17)-SUBTOTAL(9,$H$17),"")</f>
        <v>551857.26</v>
      </c>
      <c r="H18" s="23" t="str">
        <f>IF(SUBTOTAL(9,$G$17)&lt;SUBTOTAL(9,$H$17),SUBTOTAL(9,$H$17)-SUBTOTAL(9,$G$17),"")</f>
        <v/>
      </c>
      <c r="I18" s="23">
        <f>IF(SUBTOTAL(9,$I$17)&gt;=SUBTOTAL(9,$J$17),SUBTOTAL(9,$I$17)-SUBTOTAL(9,$J$17),"")</f>
        <v>551857.26</v>
      </c>
      <c r="J18" s="23" t="str">
        <f>IF(SUBTOTAL(9,$I$17)&lt;SUBTOTAL(9,$J$17),SUBTOTAL(9,$J$17)-SUBTOTAL(9,$I$17),"")</f>
        <v/>
      </c>
      <c r="K18" s="24">
        <f>IF(ROUND(N($I$18),3) - ROUND(N($J$18),3)=0,0,(N($G$18)-N($H$18)-N($I$18)+N($J$18))/(N($I$18)-N($J$18)))</f>
        <v>0</v>
      </c>
    </row>
    <row r="19" spans="1:11" outlineLevel="3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outlineLevel="2" x14ac:dyDescent="0.25">
      <c r="A20" s="10"/>
      <c r="B20" s="10"/>
      <c r="C20" s="22" t="str">
        <f>CONCATENATE("Totaal"," ",$C$15)</f>
        <v>Totaal Vaste activa</v>
      </c>
      <c r="D20" s="10"/>
      <c r="E20" s="10"/>
      <c r="F20" s="10"/>
      <c r="G20" s="23">
        <f>IF(SUBTOTAL(9,$G$16:$G$19)&gt;=SUBTOTAL(9,$H$16:$H$19),SUBTOTAL(9,$G$16:$G$19)-SUBTOTAL(9,$H$16:$H$19),"")</f>
        <v>551857.26</v>
      </c>
      <c r="H20" s="23" t="str">
        <f>IF(SUBTOTAL(9,$G$16:$G$19)&lt;SUBTOTAL(9,$H$16:$H$19),SUBTOTAL(9,$H$16:$H$19)-SUBTOTAL(9,$G$16:$G$19),"")</f>
        <v/>
      </c>
      <c r="I20" s="23">
        <f>IF(SUBTOTAL(9,$I$16:$I$19)&gt;=SUBTOTAL(9,$J$16:$J$19),SUBTOTAL(9,$I$16:$I$19)-SUBTOTAL(9,$J$16:$J$19),"")</f>
        <v>551857.26</v>
      </c>
      <c r="J20" s="23" t="str">
        <f>IF(SUBTOTAL(9,$I$16:$I$19)&lt;SUBTOTAL(9,$J$16:$J$19),SUBTOTAL(9,$J$16:$J$19)-SUBTOTAL(9,$I$16:$I$19),"")</f>
        <v/>
      </c>
      <c r="K20" s="24">
        <f>IF(ROUND(N($I$20),3) - ROUND(N($J$20),3)=0,0,(N($G$20)-N($H$20)-N($I$20)+N($J$20))/(N($I$20)-N($J$20)))</f>
        <v>0</v>
      </c>
    </row>
    <row r="21" spans="1:11" outlineLevel="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1" outlineLevel="3" x14ac:dyDescent="0.25">
      <c r="A22" s="10"/>
      <c r="B22" s="10"/>
      <c r="C22" s="17" t="s">
        <v>47</v>
      </c>
      <c r="D22" s="10"/>
      <c r="E22" s="10"/>
      <c r="F22" s="10"/>
      <c r="G22" s="10"/>
      <c r="H22" s="10"/>
      <c r="I22" s="10"/>
      <c r="J22" s="10"/>
      <c r="K22" s="10"/>
    </row>
    <row r="23" spans="1:11" outlineLevel="4" x14ac:dyDescent="0.25">
      <c r="A23" s="10"/>
      <c r="B23" s="10"/>
      <c r="C23" s="10"/>
      <c r="D23" s="17" t="s">
        <v>48</v>
      </c>
      <c r="E23" s="10"/>
      <c r="F23" s="10"/>
      <c r="G23" s="10"/>
      <c r="H23" s="10"/>
      <c r="I23" s="10"/>
      <c r="J23" s="10"/>
      <c r="K23" s="10"/>
    </row>
    <row r="24" spans="1:11" outlineLevel="4" x14ac:dyDescent="0.25">
      <c r="A24" s="10"/>
      <c r="B24" s="10"/>
      <c r="C24" s="10"/>
      <c r="D24" s="10"/>
      <c r="E24" s="18" t="s">
        <v>49</v>
      </c>
      <c r="F24" s="19" t="s">
        <v>50</v>
      </c>
      <c r="G24" s="20">
        <f xml:space="preserve"> 663536.23/I9</f>
        <v>663536.23</v>
      </c>
      <c r="H24" s="20"/>
      <c r="I24" s="20">
        <f xml:space="preserve"> 664471.7/I9</f>
        <v>664471.69999999995</v>
      </c>
      <c r="J24" s="20"/>
      <c r="K24" s="21">
        <f>IF(ROUND(N($I$24),3) - ROUND(N($J$24),3)=0,0,(N($G$24)-N($H$24)-N($I$24)+N($J$24))/(N($I$24)-N($J$24)))</f>
        <v>-1.4078402436100319E-3</v>
      </c>
    </row>
    <row r="25" spans="1:11" outlineLevel="3" x14ac:dyDescent="0.25">
      <c r="A25" s="10"/>
      <c r="B25" s="10"/>
      <c r="C25" s="10"/>
      <c r="D25" s="22" t="str">
        <f>CONCATENATE("Totaal"," ",$D$23)</f>
        <v>Totaal Langlopende vorderingen</v>
      </c>
      <c r="E25" s="10"/>
      <c r="F25" s="10"/>
      <c r="G25" s="23">
        <f>IF(SUBTOTAL(9,$G$24)&gt;=SUBTOTAL(9,$H$24),SUBTOTAL(9,$G$24)-SUBTOTAL(9,$H$24),"")</f>
        <v>663536.23</v>
      </c>
      <c r="H25" s="23" t="str">
        <f>IF(SUBTOTAL(9,$G$24)&lt;SUBTOTAL(9,$H$24),SUBTOTAL(9,$H$24)-SUBTOTAL(9,$G$24),"")</f>
        <v/>
      </c>
      <c r="I25" s="23">
        <f>IF(SUBTOTAL(9,$I$24)&gt;=SUBTOTAL(9,$J$24),SUBTOTAL(9,$I$24)-SUBTOTAL(9,$J$24),"")</f>
        <v>664471.69999999995</v>
      </c>
      <c r="J25" s="23" t="str">
        <f>IF(SUBTOTAL(9,$I$24)&lt;SUBTOTAL(9,$J$24),SUBTOTAL(9,$J$24)-SUBTOTAL(9,$I$24),"")</f>
        <v/>
      </c>
      <c r="K25" s="24">
        <f>IF(ROUND(N($I$25),3) - ROUND(N($J$25),3)=0,0,(N($G$25)-N($H$25)-N($I$25)+N($J$25))/(N($I$25)-N($J$25)))</f>
        <v>-1.4078402436100319E-3</v>
      </c>
    </row>
    <row r="26" spans="1:11" outlineLevel="3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1" outlineLevel="2" x14ac:dyDescent="0.25">
      <c r="A27" s="10"/>
      <c r="B27" s="10"/>
      <c r="C27" s="22" t="str">
        <f>CONCATENATE("Totaal"," ",$C$22)</f>
        <v>Totaal Financiële vaste activa</v>
      </c>
      <c r="D27" s="10"/>
      <c r="E27" s="10"/>
      <c r="F27" s="10"/>
      <c r="G27" s="23">
        <f>IF(SUBTOTAL(9,$G$23:$G$26)&gt;=SUBTOTAL(9,$H$23:$H$26),SUBTOTAL(9,$G$23:$G$26)-SUBTOTAL(9,$H$23:$H$26),"")</f>
        <v>663536.23</v>
      </c>
      <c r="H27" s="23" t="str">
        <f>IF(SUBTOTAL(9,$G$23:$G$26)&lt;SUBTOTAL(9,$H$23:$H$26),SUBTOTAL(9,$H$23:$H$26)-SUBTOTAL(9,$G$23:$G$26),"")</f>
        <v/>
      </c>
      <c r="I27" s="23">
        <f>IF(SUBTOTAL(9,$I$23:$I$26)&gt;=SUBTOTAL(9,$J$23:$J$26),SUBTOTAL(9,$I$23:$I$26)-SUBTOTAL(9,$J$23:$J$26),"")</f>
        <v>664471.69999999995</v>
      </c>
      <c r="J27" s="23" t="str">
        <f>IF(SUBTOTAL(9,$I$23:$I$26)&lt;SUBTOTAL(9,$J$23:$J$26),SUBTOTAL(9,$J$23:$J$26)-SUBTOTAL(9,$I$23:$I$26),"")</f>
        <v/>
      </c>
      <c r="K27" s="24">
        <f>IF(ROUND(N($I$27),3) - ROUND(N($J$27),3)=0,0,(N($G$27)-N($H$27)-N($I$27)+N($J$27))/(N($I$27)-N($J$27)))</f>
        <v>-1.4078402436100319E-3</v>
      </c>
    </row>
    <row r="28" spans="1:11" outlineLevel="2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</row>
    <row r="29" spans="1:11" outlineLevel="3" x14ac:dyDescent="0.25">
      <c r="A29" s="10"/>
      <c r="B29" s="10"/>
      <c r="C29" s="17" t="s">
        <v>51</v>
      </c>
      <c r="D29" s="10"/>
      <c r="E29" s="10"/>
      <c r="F29" s="10"/>
      <c r="G29" s="10"/>
      <c r="H29" s="10"/>
      <c r="I29" s="10"/>
      <c r="J29" s="10"/>
      <c r="K29" s="10"/>
    </row>
    <row r="30" spans="1:11" outlineLevel="4" x14ac:dyDescent="0.25">
      <c r="A30" s="10"/>
      <c r="B30" s="10"/>
      <c r="C30" s="10"/>
      <c r="D30" s="17" t="s">
        <v>52</v>
      </c>
      <c r="E30" s="10"/>
      <c r="F30" s="10"/>
      <c r="G30" s="10"/>
      <c r="H30" s="10"/>
      <c r="I30" s="10"/>
      <c r="J30" s="10"/>
      <c r="K30" s="10"/>
    </row>
    <row r="31" spans="1:11" outlineLevel="4" x14ac:dyDescent="0.25">
      <c r="A31" s="10"/>
      <c r="B31" s="10"/>
      <c r="C31" s="10"/>
      <c r="D31" s="10"/>
      <c r="E31" s="18" t="s">
        <v>53</v>
      </c>
      <c r="F31" s="19" t="s">
        <v>54</v>
      </c>
      <c r="G31" s="20">
        <f xml:space="preserve"> 1096.1/I9</f>
        <v>1096.0999999999999</v>
      </c>
      <c r="H31" s="20"/>
      <c r="I31" s="20">
        <f xml:space="preserve"> 4177.49/I9</f>
        <v>4177.49</v>
      </c>
      <c r="J31" s="20"/>
      <c r="K31" s="21">
        <f>IF(ROUND(N($I$31),3) - ROUND(N($J$31),3)=0,0,(N($G$31)-N($H$31)-N($I$31)+N($J$31))/(N($I$31)-N($J$31)))</f>
        <v>-0.73761756461415828</v>
      </c>
    </row>
    <row r="32" spans="1:11" outlineLevel="3" x14ac:dyDescent="0.25">
      <c r="A32" s="10"/>
      <c r="B32" s="10"/>
      <c r="C32" s="10"/>
      <c r="D32" s="22" t="str">
        <f>CONCATENATE("Totaal"," ",$D$30)</f>
        <v>Totaal Overlopende Activa</v>
      </c>
      <c r="E32" s="10"/>
      <c r="F32" s="10"/>
      <c r="G32" s="23">
        <f>IF(SUBTOTAL(9,$G$31)&gt;=SUBTOTAL(9,$H$31),SUBTOTAL(9,$G$31)-SUBTOTAL(9,$H$31),"")</f>
        <v>1096.0999999999999</v>
      </c>
      <c r="H32" s="23" t="str">
        <f>IF(SUBTOTAL(9,$G$31)&lt;SUBTOTAL(9,$H$31),SUBTOTAL(9,$H$31)-SUBTOTAL(9,$G$31),"")</f>
        <v/>
      </c>
      <c r="I32" s="23">
        <f>IF(SUBTOTAL(9,$I$31)&gt;=SUBTOTAL(9,$J$31),SUBTOTAL(9,$I$31)-SUBTOTAL(9,$J$31),"")</f>
        <v>4177.49</v>
      </c>
      <c r="J32" s="23" t="str">
        <f>IF(SUBTOTAL(9,$I$31)&lt;SUBTOTAL(9,$J$31),SUBTOTAL(9,$J$31)-SUBTOTAL(9,$I$31),"")</f>
        <v/>
      </c>
      <c r="K32" s="24">
        <f>IF(ROUND(N($I$32),3) - ROUND(N($J$32),3)=0,0,(N($G$32)-N($H$32)-N($I$32)+N($J$32))/(N($I$32)-N($J$32)))</f>
        <v>-0.73761756461415828</v>
      </c>
    </row>
    <row r="33" spans="1:11" outlineLevel="3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 outlineLevel="2" x14ac:dyDescent="0.25">
      <c r="A34" s="10"/>
      <c r="B34" s="10"/>
      <c r="C34" s="22" t="str">
        <f>CONCATENATE("Totaal"," ",$C$29)</f>
        <v>Totaal Vlottende activa</v>
      </c>
      <c r="D34" s="10"/>
      <c r="E34" s="10"/>
      <c r="F34" s="10"/>
      <c r="G34" s="23">
        <f>IF(SUBTOTAL(9,$G$30:$G$33)&gt;=SUBTOTAL(9,$H$30:$H$33),SUBTOTAL(9,$G$30:$G$33)-SUBTOTAL(9,$H$30:$H$33),"")</f>
        <v>1096.0999999999999</v>
      </c>
      <c r="H34" s="23" t="str">
        <f>IF(SUBTOTAL(9,$G$30:$G$33)&lt;SUBTOTAL(9,$H$30:$H$33),SUBTOTAL(9,$H$30:$H$33)-SUBTOTAL(9,$G$30:$G$33),"")</f>
        <v/>
      </c>
      <c r="I34" s="23">
        <f>IF(SUBTOTAL(9,$I$30:$I$33)&gt;=SUBTOTAL(9,$J$30:$J$33),SUBTOTAL(9,$I$30:$I$33)-SUBTOTAL(9,$J$30:$J$33),"")</f>
        <v>4177.49</v>
      </c>
      <c r="J34" s="23" t="str">
        <f>IF(SUBTOTAL(9,$I$30:$I$33)&lt;SUBTOTAL(9,$J$30:$J$33),SUBTOTAL(9,$J$30:$J$33)-SUBTOTAL(9,$I$30:$I$33),"")</f>
        <v/>
      </c>
      <c r="K34" s="24">
        <f>IF(ROUND(N($I$34),3) - ROUND(N($J$34),3)=0,0,(N($G$34)-N($H$34)-N($I$34)+N($J$34))/(N($I$34)-N($J$34)))</f>
        <v>-0.73761756461415828</v>
      </c>
    </row>
    <row r="35" spans="1:11" outlineLevel="2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outlineLevel="3" x14ac:dyDescent="0.25">
      <c r="A36" s="10"/>
      <c r="B36" s="10"/>
      <c r="C36" s="17" t="s">
        <v>55</v>
      </c>
      <c r="D36" s="10"/>
      <c r="E36" s="10"/>
      <c r="F36" s="10"/>
      <c r="G36" s="10"/>
      <c r="H36" s="10"/>
      <c r="I36" s="10"/>
      <c r="J36" s="10"/>
      <c r="K36" s="10"/>
    </row>
    <row r="37" spans="1:11" outlineLevel="4" x14ac:dyDescent="0.25">
      <c r="A37" s="10"/>
      <c r="B37" s="10"/>
      <c r="C37" s="10"/>
      <c r="D37" s="17" t="s">
        <v>56</v>
      </c>
      <c r="E37" s="10"/>
      <c r="F37" s="10"/>
      <c r="G37" s="10"/>
      <c r="H37" s="10"/>
      <c r="I37" s="10"/>
      <c r="J37" s="10"/>
      <c r="K37" s="10"/>
    </row>
    <row r="38" spans="1:11" outlineLevel="4" x14ac:dyDescent="0.25">
      <c r="A38" s="10"/>
      <c r="B38" s="10"/>
      <c r="C38" s="10"/>
      <c r="D38" s="10"/>
      <c r="E38" s="18" t="s">
        <v>57</v>
      </c>
      <c r="F38" s="19" t="s">
        <v>58</v>
      </c>
      <c r="G38" s="20">
        <f xml:space="preserve"> 1630.78999999991/I9</f>
        <v>1630.7899999999099</v>
      </c>
      <c r="H38" s="20"/>
      <c r="I38" s="20">
        <f xml:space="preserve"> 3964.79999999991/I9</f>
        <v>3964.7999999999101</v>
      </c>
      <c r="J38" s="20"/>
      <c r="K38" s="21">
        <f>IF(ROUND(N($I$38),3) - ROUND(N($J$38),3)=0,0,(N($G$38)-N($H$38)-N($I$38)+N($J$38))/(N($I$38)-N($J$38)))</f>
        <v>-0.58868290960453318</v>
      </c>
    </row>
    <row r="39" spans="1:11" outlineLevel="3" x14ac:dyDescent="0.25">
      <c r="A39" s="10"/>
      <c r="B39" s="10"/>
      <c r="C39" s="10"/>
      <c r="D39" s="22" t="str">
        <f>CONCATENATE("Totaal"," ",$D$37)</f>
        <v>Totaal Bank</v>
      </c>
      <c r="E39" s="10"/>
      <c r="F39" s="10"/>
      <c r="G39" s="23">
        <f>IF(SUBTOTAL(9,$G$38)&gt;=SUBTOTAL(9,$H$38),SUBTOTAL(9,$G$38)-SUBTOTAL(9,$H$38),"")</f>
        <v>1630.7899999999099</v>
      </c>
      <c r="H39" s="23" t="str">
        <f>IF(SUBTOTAL(9,$G$38)&lt;SUBTOTAL(9,$H$38),SUBTOTAL(9,$H$38)-SUBTOTAL(9,$G$38),"")</f>
        <v/>
      </c>
      <c r="I39" s="23">
        <f>IF(SUBTOTAL(9,$I$38)&gt;=SUBTOTAL(9,$J$38),SUBTOTAL(9,$I$38)-SUBTOTAL(9,$J$38),"")</f>
        <v>3964.7999999999101</v>
      </c>
      <c r="J39" s="23" t="str">
        <f>IF(SUBTOTAL(9,$I$38)&lt;SUBTOTAL(9,$J$38),SUBTOTAL(9,$J$38)-SUBTOTAL(9,$I$38),"")</f>
        <v/>
      </c>
      <c r="K39" s="24">
        <f>IF(ROUND(N($I$39),3) - ROUND(N($J$39),3)=0,0,(N($G$39)-N($H$39)-N($I$39)+N($J$39))/(N($I$39)-N($J$39)))</f>
        <v>-0.58868290960453318</v>
      </c>
    </row>
    <row r="40" spans="1:11" outlineLevel="3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1:11" outlineLevel="2" x14ac:dyDescent="0.25">
      <c r="A41" s="10"/>
      <c r="B41" s="10"/>
      <c r="C41" s="22" t="str">
        <f>CONCATENATE("Totaal"," ",$C$36)</f>
        <v>Totaal Liquide middelen</v>
      </c>
      <c r="D41" s="10"/>
      <c r="E41" s="10"/>
      <c r="F41" s="10"/>
      <c r="G41" s="23">
        <f>IF(SUBTOTAL(9,$G$37:$G$40)&gt;=SUBTOTAL(9,$H$37:$H$40),SUBTOTAL(9,$G$37:$G$40)-SUBTOTAL(9,$H$37:$H$40),"")</f>
        <v>1630.7899999999099</v>
      </c>
      <c r="H41" s="23" t="str">
        <f>IF(SUBTOTAL(9,$G$37:$G$40)&lt;SUBTOTAL(9,$H$37:$H$40),SUBTOTAL(9,$H$37:$H$40)-SUBTOTAL(9,$G$37:$G$40),"")</f>
        <v/>
      </c>
      <c r="I41" s="23">
        <f>IF(SUBTOTAL(9,$I$37:$I$40)&gt;=SUBTOTAL(9,$J$37:$J$40),SUBTOTAL(9,$I$37:$I$40)-SUBTOTAL(9,$J$37:$J$40),"")</f>
        <v>3964.7999999999101</v>
      </c>
      <c r="J41" s="23" t="str">
        <f>IF(SUBTOTAL(9,$I$37:$I$40)&lt;SUBTOTAL(9,$J$37:$J$40),SUBTOTAL(9,$J$37:$J$40)-SUBTOTAL(9,$I$37:$I$40),"")</f>
        <v/>
      </c>
      <c r="K41" s="24">
        <f>IF(ROUND(N($I$41),3) - ROUND(N($J$41),3)=0,0,(N($G$41)-N($H$41)-N($I$41)+N($J$41))/(N($I$41)-N($J$41)))</f>
        <v>-0.58868290960453318</v>
      </c>
    </row>
    <row r="42" spans="1:11" outlineLevel="2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1" outlineLevel="1" x14ac:dyDescent="0.25">
      <c r="A43" s="10"/>
      <c r="B43" s="22" t="str">
        <f>CONCATENATE("Totaal"," ",$B$14)</f>
        <v>Totaal Activa</v>
      </c>
      <c r="C43" s="10"/>
      <c r="D43" s="10"/>
      <c r="E43" s="10"/>
      <c r="F43" s="10"/>
      <c r="G43" s="23">
        <f>IF(SUBTOTAL(9,$G$15:$G$42)&gt;=SUBTOTAL(9,$H$15:$H$42),SUBTOTAL(9,$G$15:$G$42)-SUBTOTAL(9,$H$15:$H$42),"")</f>
        <v>1218120.3799999999</v>
      </c>
      <c r="H43" s="23" t="str">
        <f>IF(SUBTOTAL(9,$G$15:$G$42)&lt;SUBTOTAL(9,$H$15:$H$42),SUBTOTAL(9,$H$15:$H$42)-SUBTOTAL(9,$G$15:$G$42),"")</f>
        <v/>
      </c>
      <c r="I43" s="23">
        <f>IF(SUBTOTAL(9,$I$15:$I$42)&gt;=SUBTOTAL(9,$J$15:$J$42),SUBTOTAL(9,$I$15:$I$42)-SUBTOTAL(9,$J$15:$J$42),"")</f>
        <v>1224471.2499999998</v>
      </c>
      <c r="J43" s="23" t="str">
        <f>IF(SUBTOTAL(9,$I$15:$I$42)&lt;SUBTOTAL(9,$J$15:$J$42),SUBTOTAL(9,$J$15:$J$42)-SUBTOTAL(9,$I$15:$I$42),"")</f>
        <v/>
      </c>
      <c r="K43" s="24">
        <f>IF(ROUND(N($I$43),3) - ROUND(N($J$43),3)=0,0,(N($G$43)-N($H$43)-N($I$43)+N($J$43))/(N($I$43)-N($J$43)))</f>
        <v>-5.1866223890515029E-3</v>
      </c>
    </row>
    <row r="44" spans="1:11" outlineLevel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1" outlineLevel="2" x14ac:dyDescent="0.25">
      <c r="A45" s="10"/>
      <c r="B45" s="17" t="s">
        <v>59</v>
      </c>
      <c r="C45" s="10"/>
      <c r="D45" s="10"/>
      <c r="E45" s="10"/>
      <c r="F45" s="10"/>
      <c r="G45" s="10"/>
      <c r="H45" s="10"/>
      <c r="I45" s="10"/>
      <c r="J45" s="10"/>
      <c r="K45" s="10"/>
    </row>
    <row r="46" spans="1:11" outlineLevel="3" x14ac:dyDescent="0.25">
      <c r="A46" s="10"/>
      <c r="B46" s="10"/>
      <c r="C46" s="17" t="s">
        <v>60</v>
      </c>
      <c r="D46" s="10"/>
      <c r="E46" s="10"/>
      <c r="F46" s="10"/>
      <c r="G46" s="10"/>
      <c r="H46" s="10"/>
      <c r="I46" s="10"/>
      <c r="J46" s="10"/>
      <c r="K46" s="10"/>
    </row>
    <row r="47" spans="1:11" outlineLevel="4" x14ac:dyDescent="0.25">
      <c r="A47" s="10"/>
      <c r="B47" s="10"/>
      <c r="C47" s="10"/>
      <c r="D47" s="17" t="s">
        <v>61</v>
      </c>
      <c r="E47" s="10"/>
      <c r="F47" s="10"/>
      <c r="G47" s="10"/>
      <c r="H47" s="10"/>
      <c r="I47" s="10"/>
      <c r="J47" s="10"/>
      <c r="K47" s="10"/>
    </row>
    <row r="48" spans="1:11" outlineLevel="4" x14ac:dyDescent="0.25">
      <c r="A48" s="10"/>
      <c r="B48" s="10"/>
      <c r="C48" s="10"/>
      <c r="D48" s="10"/>
      <c r="E48" s="18" t="s">
        <v>62</v>
      </c>
      <c r="F48" s="19" t="s">
        <v>63</v>
      </c>
      <c r="G48" s="20"/>
      <c r="H48" s="20">
        <f xml:space="preserve"> 311227.94/I9</f>
        <v>311227.94</v>
      </c>
      <c r="I48" s="20"/>
      <c r="J48" s="20">
        <f xml:space="preserve"> 317690.21/I9</f>
        <v>317690.21000000002</v>
      </c>
      <c r="K48" s="21">
        <f>IF(ROUND(N($I$48),3) - ROUND(N($J$48),3)=0,0,(N($G$48)-N($H$48)-N($I$48)+N($J$48))/(N($I$48)-N($J$48)))</f>
        <v>-2.0341420026761349E-2</v>
      </c>
    </row>
    <row r="49" spans="1:11" outlineLevel="3" x14ac:dyDescent="0.25">
      <c r="A49" s="10"/>
      <c r="B49" s="10"/>
      <c r="C49" s="10"/>
      <c r="D49" s="22" t="str">
        <f>CONCATENATE("Totaal"," ",$D$47)</f>
        <v>Totaal Langlopende schulden</v>
      </c>
      <c r="E49" s="10"/>
      <c r="F49" s="10"/>
      <c r="G49" s="23" t="str">
        <f>IF(SUBTOTAL(9,$G$48)&gt;=SUBTOTAL(9,$H$48),SUBTOTAL(9,$G$48)-SUBTOTAL(9,$H$48),"")</f>
        <v/>
      </c>
      <c r="H49" s="23">
        <f>IF(SUBTOTAL(9,$G$48)&lt;SUBTOTAL(9,$H$48),SUBTOTAL(9,$H$48)-SUBTOTAL(9,$G$48),"")</f>
        <v>311227.94</v>
      </c>
      <c r="I49" s="23" t="str">
        <f>IF(SUBTOTAL(9,$I$48)&gt;=SUBTOTAL(9,$J$48),SUBTOTAL(9,$I$48)-SUBTOTAL(9,$J$48),"")</f>
        <v/>
      </c>
      <c r="J49" s="23">
        <f>IF(SUBTOTAL(9,$I$48)&lt;SUBTOTAL(9,$J$48),SUBTOTAL(9,$J$48)-SUBTOTAL(9,$I$48),"")</f>
        <v>317690.21000000002</v>
      </c>
      <c r="K49" s="24">
        <f>IF(ROUND(N($I$49),3) - ROUND(N($J$49),3)=0,0,(N($G$49)-N($H$49)-N($I$49)+N($J$49))/(N($I$49)-N($J$49)))</f>
        <v>-2.0341420026761349E-2</v>
      </c>
    </row>
    <row r="50" spans="1:11" outlineLevel="3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1" outlineLevel="2" x14ac:dyDescent="0.25">
      <c r="A51" s="10"/>
      <c r="B51" s="10"/>
      <c r="C51" s="22" t="str">
        <f>CONCATENATE("Totaal"," ",$C$46)</f>
        <v>Totaal Vreemd vermogen lang</v>
      </c>
      <c r="D51" s="10"/>
      <c r="E51" s="10"/>
      <c r="F51" s="10"/>
      <c r="G51" s="23" t="str">
        <f>IF(SUBTOTAL(9,$G$47:$G$50)&gt;=SUBTOTAL(9,$H$47:$H$50),SUBTOTAL(9,$G$47:$G$50)-SUBTOTAL(9,$H$47:$H$50),"")</f>
        <v/>
      </c>
      <c r="H51" s="23">
        <f>IF(SUBTOTAL(9,$G$47:$G$50)&lt;SUBTOTAL(9,$H$47:$H$50),SUBTOTAL(9,$H$47:$H$50)-SUBTOTAL(9,$G$47:$G$50),"")</f>
        <v>311227.94</v>
      </c>
      <c r="I51" s="23" t="str">
        <f>IF(SUBTOTAL(9,$I$47:$I$50)&gt;=SUBTOTAL(9,$J$47:$J$50),SUBTOTAL(9,$I$47:$I$50)-SUBTOTAL(9,$J$47:$J$50),"")</f>
        <v/>
      </c>
      <c r="J51" s="23">
        <f>IF(SUBTOTAL(9,$I$47:$I$50)&lt;SUBTOTAL(9,$J$47:$J$50),SUBTOTAL(9,$J$47:$J$50)-SUBTOTAL(9,$I$47:$I$50),"")</f>
        <v>317690.21000000002</v>
      </c>
      <c r="K51" s="24">
        <f>IF(ROUND(N($I$51),3) - ROUND(N($J$51),3)=0,0,(N($G$51)-N($H$51)-N($I$51)+N($J$51))/(N($I$51)-N($J$51)))</f>
        <v>-2.0341420026761349E-2</v>
      </c>
    </row>
    <row r="52" spans="1:11" outlineLevel="2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</row>
    <row r="53" spans="1:11" outlineLevel="3" x14ac:dyDescent="0.25">
      <c r="A53" s="10"/>
      <c r="B53" s="10"/>
      <c r="C53" s="17" t="s">
        <v>64</v>
      </c>
      <c r="D53" s="10"/>
      <c r="E53" s="10"/>
      <c r="F53" s="10"/>
      <c r="G53" s="10"/>
      <c r="H53" s="10"/>
      <c r="I53" s="10"/>
      <c r="J53" s="10"/>
      <c r="K53" s="10"/>
    </row>
    <row r="54" spans="1:11" outlineLevel="4" x14ac:dyDescent="0.25">
      <c r="A54" s="10"/>
      <c r="B54" s="10"/>
      <c r="C54" s="10"/>
      <c r="D54" s="17" t="s">
        <v>65</v>
      </c>
      <c r="E54" s="10"/>
      <c r="F54" s="10"/>
      <c r="G54" s="10"/>
      <c r="H54" s="10"/>
      <c r="I54" s="10"/>
      <c r="J54" s="10"/>
      <c r="K54" s="10"/>
    </row>
    <row r="55" spans="1:11" outlineLevel="4" x14ac:dyDescent="0.25">
      <c r="A55" s="10"/>
      <c r="B55" s="10"/>
      <c r="C55" s="10"/>
      <c r="D55" s="10"/>
      <c r="E55" s="18" t="s">
        <v>66</v>
      </c>
      <c r="F55" s="19" t="s">
        <v>67</v>
      </c>
      <c r="G55" s="20"/>
      <c r="H55" s="20">
        <f xml:space="preserve"> 2367.95/I9</f>
        <v>2367.9499999999998</v>
      </c>
      <c r="I55" s="20"/>
      <c r="J55" s="20">
        <f xml:space="preserve"> 2525.34/I9</f>
        <v>2525.34</v>
      </c>
      <c r="K55" s="21">
        <f>IF(ROUND(N($I$55),3) - ROUND(N($J$55),3)=0,0,(N($G$55)-N($H$55)-N($I$55)+N($J$55))/(N($I$55)-N($J$55)))</f>
        <v>-6.2324281086903278E-2</v>
      </c>
    </row>
    <row r="56" spans="1:11" outlineLevel="3" x14ac:dyDescent="0.25">
      <c r="A56" s="10"/>
      <c r="B56" s="10"/>
      <c r="C56" s="10"/>
      <c r="D56" s="22" t="str">
        <f>CONCATENATE("Totaal"," ",$D$54)</f>
        <v>Totaal Voorzieningen</v>
      </c>
      <c r="E56" s="10"/>
      <c r="F56" s="10"/>
      <c r="G56" s="23" t="str">
        <f>IF(SUBTOTAL(9,$G$55)&gt;=SUBTOTAL(9,$H$55),SUBTOTAL(9,$G$55)-SUBTOTAL(9,$H$55),"")</f>
        <v/>
      </c>
      <c r="H56" s="23">
        <f>IF(SUBTOTAL(9,$G$55)&lt;SUBTOTAL(9,$H$55),SUBTOTAL(9,$H$55)-SUBTOTAL(9,$G$55),"")</f>
        <v>2367.9499999999998</v>
      </c>
      <c r="I56" s="23" t="str">
        <f>IF(SUBTOTAL(9,$I$55)&gt;=SUBTOTAL(9,$J$55),SUBTOTAL(9,$I$55)-SUBTOTAL(9,$J$55),"")</f>
        <v/>
      </c>
      <c r="J56" s="23">
        <f>IF(SUBTOTAL(9,$I$55)&lt;SUBTOTAL(9,$J$55),SUBTOTAL(9,$J$55)-SUBTOTAL(9,$I$55),"")</f>
        <v>2525.34</v>
      </c>
      <c r="K56" s="24">
        <f>IF(ROUND(N($I$56),3) - ROUND(N($J$56),3)=0,0,(N($G$56)-N($H$56)-N($I$56)+N($J$56))/(N($I$56)-N($J$56)))</f>
        <v>-6.2324281086903278E-2</v>
      </c>
    </row>
    <row r="57" spans="1:11" outlineLevel="3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</row>
    <row r="58" spans="1:11" outlineLevel="2" x14ac:dyDescent="0.25">
      <c r="A58" s="10"/>
      <c r="B58" s="10"/>
      <c r="C58" s="22" t="str">
        <f>CONCATENATE("Totaal"," ",$C$53)</f>
        <v>Totaal Vreemd vermogen kort</v>
      </c>
      <c r="D58" s="10"/>
      <c r="E58" s="10"/>
      <c r="F58" s="10"/>
      <c r="G58" s="23" t="str">
        <f>IF(SUBTOTAL(9,$G$54:$G$57)&gt;=SUBTOTAL(9,$H$54:$H$57),SUBTOTAL(9,$G$54:$G$57)-SUBTOTAL(9,$H$54:$H$57),"")</f>
        <v/>
      </c>
      <c r="H58" s="23">
        <f>IF(SUBTOTAL(9,$G$54:$G$57)&lt;SUBTOTAL(9,$H$54:$H$57),SUBTOTAL(9,$H$54:$H$57)-SUBTOTAL(9,$G$54:$G$57),"")</f>
        <v>2367.9499999999998</v>
      </c>
      <c r="I58" s="23" t="str">
        <f>IF(SUBTOTAL(9,$I$54:$I$57)&gt;=SUBTOTAL(9,$J$54:$J$57),SUBTOTAL(9,$I$54:$I$57)-SUBTOTAL(9,$J$54:$J$57),"")</f>
        <v/>
      </c>
      <c r="J58" s="23">
        <f>IF(SUBTOTAL(9,$I$54:$I$57)&lt;SUBTOTAL(9,$J$54:$J$57),SUBTOTAL(9,$J$54:$J$57)-SUBTOTAL(9,$I$54:$I$57),"")</f>
        <v>2525.34</v>
      </c>
      <c r="K58" s="24">
        <f>IF(ROUND(N($I$58),3) - ROUND(N($J$58),3)=0,0,(N($G$58)-N($H$58)-N($I$58)+N($J$58))/(N($I$58)-N($J$58)))</f>
        <v>-6.2324281086903278E-2</v>
      </c>
    </row>
    <row r="59" spans="1:11" outlineLevel="2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</row>
    <row r="60" spans="1:11" outlineLevel="3" x14ac:dyDescent="0.25">
      <c r="A60" s="10"/>
      <c r="B60" s="10"/>
      <c r="C60" s="17" t="s">
        <v>68</v>
      </c>
      <c r="D60" s="10"/>
      <c r="E60" s="10"/>
      <c r="F60" s="10"/>
      <c r="G60" s="10"/>
      <c r="H60" s="10"/>
      <c r="I60" s="10"/>
      <c r="J60" s="10"/>
      <c r="K60" s="10"/>
    </row>
    <row r="61" spans="1:11" outlineLevel="4" x14ac:dyDescent="0.25">
      <c r="A61" s="10"/>
      <c r="B61" s="10"/>
      <c r="C61" s="10"/>
      <c r="D61" s="17" t="s">
        <v>69</v>
      </c>
      <c r="E61" s="10"/>
      <c r="F61" s="10"/>
      <c r="G61" s="10"/>
      <c r="H61" s="10"/>
      <c r="I61" s="10"/>
      <c r="J61" s="10"/>
      <c r="K61" s="10"/>
    </row>
    <row r="62" spans="1:11" outlineLevel="4" x14ac:dyDescent="0.25">
      <c r="A62" s="10"/>
      <c r="B62" s="10"/>
      <c r="C62" s="10"/>
      <c r="D62" s="10"/>
      <c r="E62" s="18" t="s">
        <v>70</v>
      </c>
      <c r="F62" s="19" t="s">
        <v>71</v>
      </c>
      <c r="G62" s="20"/>
      <c r="H62" s="20">
        <f xml:space="preserve"> 904255.699999999/I9</f>
        <v>904255.69999999902</v>
      </c>
      <c r="I62" s="20"/>
      <c r="J62" s="20">
        <f xml:space="preserve"> 898139.01/I9</f>
        <v>898139.01</v>
      </c>
      <c r="K62" s="21">
        <f>IF(ROUND(N($I$62),3) - ROUND(N($J$62),3)=0,0,(N($G$62)-N($H$62)-N($I$62)+N($J$62))/(N($I$62)-N($J$62)))</f>
        <v>6.8104045497355834E-3</v>
      </c>
    </row>
    <row r="63" spans="1:11" outlineLevel="3" x14ac:dyDescent="0.25">
      <c r="A63" s="10"/>
      <c r="B63" s="10"/>
      <c r="C63" s="10"/>
      <c r="D63" s="22" t="str">
        <f>CONCATENATE("Totaal"," ",$D$61)</f>
        <v>Totaal Winst en Verliesrekening</v>
      </c>
      <c r="E63" s="10"/>
      <c r="F63" s="10"/>
      <c r="G63" s="23" t="str">
        <f>IF(SUBTOTAL(9,$G$62)&gt;=SUBTOTAL(9,$H$62),SUBTOTAL(9,$G$62)-SUBTOTAL(9,$H$62),"")</f>
        <v/>
      </c>
      <c r="H63" s="23">
        <f>IF(SUBTOTAL(9,$G$62)&lt;SUBTOTAL(9,$H$62),SUBTOTAL(9,$H$62)-SUBTOTAL(9,$G$62),"")</f>
        <v>904255.69999999902</v>
      </c>
      <c r="I63" s="23" t="str">
        <f>IF(SUBTOTAL(9,$I$62)&gt;=SUBTOTAL(9,$J$62),SUBTOTAL(9,$I$62)-SUBTOTAL(9,$J$62),"")</f>
        <v/>
      </c>
      <c r="J63" s="23">
        <f>IF(SUBTOTAL(9,$I$62)&lt;SUBTOTAL(9,$J$62),SUBTOTAL(9,$J$62)-SUBTOTAL(9,$I$62),"")</f>
        <v>898139.01</v>
      </c>
      <c r="K63" s="24">
        <f>IF(ROUND(N($I$63),3) - ROUND(N($J$63),3)=0,0,(N($G$63)-N($H$63)-N($I$63)+N($J$63))/(N($I$63)-N($J$63)))</f>
        <v>6.8104045497355834E-3</v>
      </c>
    </row>
    <row r="64" spans="1:11" outlineLevel="3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</row>
    <row r="65" spans="1:11" outlineLevel="2" x14ac:dyDescent="0.25">
      <c r="A65" s="10"/>
      <c r="B65" s="10"/>
      <c r="C65" s="22" t="str">
        <f>CONCATENATE("Totaal"," ",$C$60)</f>
        <v>Totaal Eigen vermogen</v>
      </c>
      <c r="D65" s="10"/>
      <c r="E65" s="10"/>
      <c r="F65" s="10"/>
      <c r="G65" s="23" t="str">
        <f>IF(SUBTOTAL(9,$G$61:$G$64)&gt;=SUBTOTAL(9,$H$61:$H$64),SUBTOTAL(9,$G$61:$G$64)-SUBTOTAL(9,$H$61:$H$64),"")</f>
        <v/>
      </c>
      <c r="H65" s="23">
        <f>IF(SUBTOTAL(9,$G$61:$G$64)&lt;SUBTOTAL(9,$H$61:$H$64),SUBTOTAL(9,$H$61:$H$64)-SUBTOTAL(9,$G$61:$G$64),"")</f>
        <v>904255.69999999902</v>
      </c>
      <c r="I65" s="23" t="str">
        <f>IF(SUBTOTAL(9,$I$61:$I$64)&gt;=SUBTOTAL(9,$J$61:$J$64),SUBTOTAL(9,$I$61:$I$64)-SUBTOTAL(9,$J$61:$J$64),"")</f>
        <v/>
      </c>
      <c r="J65" s="23">
        <f>IF(SUBTOTAL(9,$I$61:$I$64)&lt;SUBTOTAL(9,$J$61:$J$64),SUBTOTAL(9,$J$61:$J$64)-SUBTOTAL(9,$I$61:$I$64),"")</f>
        <v>898139.01</v>
      </c>
      <c r="K65" s="24">
        <f>IF(ROUND(N($I$65),3) - ROUND(N($J$65),3)=0,0,(N($G$65)-N($H$65)-N($I$65)+N($J$65))/(N($I$65)-N($J$65)))</f>
        <v>6.8104045497355834E-3</v>
      </c>
    </row>
    <row r="66" spans="1:11" outlineLevel="2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</row>
    <row r="67" spans="1:11" outlineLevel="1" x14ac:dyDescent="0.25">
      <c r="A67" s="10"/>
      <c r="B67" s="22" t="str">
        <f>CONCATENATE("Totaal"," ",$B$45)</f>
        <v>Totaal Passiva</v>
      </c>
      <c r="C67" s="10"/>
      <c r="D67" s="10"/>
      <c r="E67" s="10"/>
      <c r="F67" s="10"/>
      <c r="G67" s="23" t="str">
        <f>IF(SUBTOTAL(9,$G$46:$G$66)&gt;=SUBTOTAL(9,$H$46:$H$66),SUBTOTAL(9,$G$46:$G$66)-SUBTOTAL(9,$H$46:$H$66),"")</f>
        <v/>
      </c>
      <c r="H67" s="23">
        <f>IF(SUBTOTAL(9,$G$46:$G$66)&lt;SUBTOTAL(9,$H$46:$H$66),SUBTOTAL(9,$H$46:$H$66)-SUBTOTAL(9,$G$46:$G$66),"")</f>
        <v>1217851.5899999989</v>
      </c>
      <c r="I67" s="23" t="str">
        <f>IF(SUBTOTAL(9,$I$46:$I$66)&gt;=SUBTOTAL(9,$J$46:$J$66),SUBTOTAL(9,$I$46:$I$66)-SUBTOTAL(9,$J$46:$J$66),"")</f>
        <v/>
      </c>
      <c r="J67" s="23">
        <f>IF(SUBTOTAL(9,$I$46:$I$66)&lt;SUBTOTAL(9,$J$46:$J$66),SUBTOTAL(9,$J$46:$J$66)-SUBTOTAL(9,$I$46:$I$66),"")</f>
        <v>1218354.56</v>
      </c>
      <c r="K67" s="24">
        <f>IF(ROUND(N($I$67),3) - ROUND(N($J$67),3)=0,0,(N($G$67)-N($H$67)-N($I$67)+N($J$67))/(N($I$67)-N($J$67)))</f>
        <v>-4.1282728075572368E-4</v>
      </c>
    </row>
    <row r="68" spans="1:11" outlineLevel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</row>
    <row r="69" spans="1:11" x14ac:dyDescent="0.25">
      <c r="A69" s="22" t="str">
        <f>CONCATENATE("Totaal"," ",$A$13)</f>
        <v>Totaal Balans</v>
      </c>
      <c r="B69" s="10"/>
      <c r="C69" s="10"/>
      <c r="D69" s="10"/>
      <c r="E69" s="10"/>
      <c r="F69" s="10"/>
      <c r="G69" s="23">
        <f>IF(SUBTOTAL(9,$G$14:$G$68)&gt;=SUBTOTAL(9,$H$14:$H$68),SUBTOTAL(9,$G$14:$G$68)-SUBTOTAL(9,$H$14:$H$68),"")</f>
        <v>268.79000000096858</v>
      </c>
      <c r="H69" s="23" t="str">
        <f>IF(SUBTOTAL(9,$G$14:$G$68)&lt;SUBTOTAL(9,$H$14:$H$68),SUBTOTAL(9,$H$14:$H$68)-SUBTOTAL(9,$G$14:$G$68),"")</f>
        <v/>
      </c>
      <c r="I69" s="23">
        <f>IF(SUBTOTAL(9,$I$14:$I$68)&gt;=SUBTOTAL(9,$J$14:$J$68),SUBTOTAL(9,$I$14:$I$68)-SUBTOTAL(9,$J$14:$J$68),"")</f>
        <v>6116.6899999997113</v>
      </c>
      <c r="J69" s="23" t="str">
        <f>IF(SUBTOTAL(9,$I$14:$I$68)&lt;SUBTOTAL(9,$J$14:$J$68),SUBTOTAL(9,$J$14:$J$68)-SUBTOTAL(9,$I$14:$I$68),"")</f>
        <v/>
      </c>
      <c r="K69" s="24">
        <f>IF(ROUND(N($I$69),3) - ROUND(N($J$69),3)=0,0,(N($G$69)-N($H$69)-N($I$69)+N($J$69))/(N($I$69)-N($J$69)))</f>
        <v>-0.95605629842267936</v>
      </c>
    </row>
    <row r="70" spans="1:1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</row>
    <row r="71" spans="1:11" x14ac:dyDescent="0.25">
      <c r="A71" s="22" t="str">
        <f>IF(SUBTOTAL(9,$G$13:$G$70)&gt;SUBTOTAL(9,$H$13:$H$70),"Winstsaldo","Saldoverlies")</f>
        <v>Winstsaldo</v>
      </c>
      <c r="B71" s="10"/>
      <c r="C71" s="10"/>
      <c r="D71" s="10"/>
      <c r="E71" s="10"/>
      <c r="F71" s="10"/>
      <c r="G71" s="23" t="str">
        <f>IF(SUBTOTAL(9,$G$13:$G$70)&lt;=SUBTOTAL(9,$H$13:$H$70),SUBTOTAL(9,$H$13:$H$70)-SUBTOTAL(9,$G$13:$G$70),"")</f>
        <v/>
      </c>
      <c r="H71" s="23">
        <f>IF(SUBTOTAL(9,$G$13:$G$70)&gt;SUBTOTAL(9,$H$13:$H$70),SUBTOTAL(9,$G$13:$G$70)-SUBTOTAL(9,$H$13:$H$70),"")</f>
        <v>268.79000000096858</v>
      </c>
      <c r="I71" s="23" t="str">
        <f>IF(SUBTOTAL(9,$I$13:$I$70)&lt;=SUBTOTAL(9,$J$13:$J$70),SUBTOTAL(9,$J$13:$J$70)-SUBTOTAL(9,$I$13:$I$70),"")</f>
        <v/>
      </c>
      <c r="J71" s="23">
        <f>IF(SUBTOTAL(9,$I$13:$I$70)&gt;SUBTOTAL(9,$J$13:$J$70),SUBTOTAL(9,$I$13:$I$70)-SUBTOTAL(9,$J$13:$J$70),"")</f>
        <v>6116.6899999997113</v>
      </c>
      <c r="K71" s="24">
        <f>IF(ROUND(N($I$71),3) - ROUND(N($J$71),3)=0,0,(N($G$71)-N($H$71)-N($I$71)+N($J$71))/(N($I$71)-N($J$71)))</f>
        <v>-0.95605629842267936</v>
      </c>
    </row>
    <row r="72" spans="1:11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</row>
    <row r="73" spans="1:11" x14ac:dyDescent="0.25">
      <c r="A73" s="25" t="s">
        <v>72</v>
      </c>
      <c r="B73" s="26"/>
      <c r="C73" s="26"/>
      <c r="D73" s="26"/>
      <c r="E73" s="26"/>
      <c r="F73" s="26"/>
      <c r="G73" s="27">
        <f>SUM($G$69,$G$71)</f>
        <v>268.79000000096858</v>
      </c>
      <c r="H73" s="27">
        <f>SUM($H$69,$H$71)</f>
        <v>268.79000000096858</v>
      </c>
      <c r="I73" s="27">
        <f>SUM($I$69,$I$71)</f>
        <v>6116.6899999997113</v>
      </c>
      <c r="J73" s="27">
        <f>SUM($J$69,$J$71)</f>
        <v>6116.6899999997113</v>
      </c>
      <c r="K73" s="28"/>
    </row>
  </sheetData>
  <mergeCells count="6">
    <mergeCell ref="A1:J1"/>
    <mergeCell ref="A2:J2"/>
    <mergeCell ref="A3:J3"/>
    <mergeCell ref="A5:E5"/>
    <mergeCell ref="A6:E6"/>
    <mergeCell ref="A7:E7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2" fitToHeight="0" orientation="portrait" horizontalDpi="0" verticalDpi="0" r:id="rId1"/>
  <headerFooter>
    <oddFooter>&amp;LBalans - Bj 2017, 004 Stichting Co Schippers Fonds&amp;R28-9-2018 10:25:42 Pagina &amp;P van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3"/>
  <sheetViews>
    <sheetView showGridLines="0"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sqref="A1:J1"/>
    </sheetView>
  </sheetViews>
  <sheetFormatPr defaultRowHeight="15" outlineLevelRow="4" x14ac:dyDescent="0.25"/>
  <cols>
    <col min="1" max="4" width="2.7109375" customWidth="1"/>
    <col min="5" max="5" width="8.42578125" bestFit="1" customWidth="1"/>
    <col min="6" max="6" width="24.7109375" customWidth="1"/>
    <col min="7" max="7" width="16.7109375" customWidth="1"/>
    <col min="8" max="8" width="21.42578125" bestFit="1" customWidth="1"/>
    <col min="9" max="9" width="16.7109375" customWidth="1"/>
    <col min="10" max="10" width="19.7109375" bestFit="1" customWidth="1"/>
    <col min="11" max="11" width="16.7109375" customWidth="1"/>
    <col min="22" max="22" width="0" hidden="1" customWidth="1"/>
  </cols>
  <sheetData>
    <row r="1" spans="1:22" ht="19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V1">
        <v>1</v>
      </c>
    </row>
    <row r="2" spans="1:22" ht="19.5" x14ac:dyDescent="0.25">
      <c r="A2" s="1" t="s">
        <v>11</v>
      </c>
      <c r="B2" s="1"/>
      <c r="C2" s="1"/>
      <c r="D2" s="1"/>
      <c r="E2" s="1"/>
      <c r="F2" s="1"/>
      <c r="G2" s="1"/>
      <c r="H2" s="1"/>
      <c r="I2" s="1"/>
      <c r="J2" s="1"/>
      <c r="K2" s="2"/>
      <c r="V2">
        <v>1000</v>
      </c>
    </row>
    <row r="3" spans="1:22" ht="19.5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  <c r="V3">
        <v>10000</v>
      </c>
    </row>
    <row r="4" spans="1:2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V4">
        <v>100000</v>
      </c>
    </row>
    <row r="5" spans="1:22" x14ac:dyDescent="0.25">
      <c r="A5" s="3" t="s">
        <v>3</v>
      </c>
      <c r="B5" s="3"/>
      <c r="C5" s="3"/>
      <c r="D5" s="3"/>
      <c r="E5" s="3"/>
      <c r="F5" s="4">
        <v>42736</v>
      </c>
      <c r="G5" s="2"/>
      <c r="H5" s="2" t="s">
        <v>5</v>
      </c>
      <c r="I5" s="2" t="s">
        <v>6</v>
      </c>
      <c r="J5" s="2"/>
      <c r="K5" s="2"/>
      <c r="V5">
        <v>1000000</v>
      </c>
    </row>
    <row r="6" spans="1:22" x14ac:dyDescent="0.25">
      <c r="A6" s="3" t="s">
        <v>4</v>
      </c>
      <c r="B6" s="3"/>
      <c r="C6" s="3"/>
      <c r="D6" s="3"/>
      <c r="E6" s="3"/>
      <c r="F6" s="4">
        <v>43100</v>
      </c>
      <c r="G6" s="2"/>
      <c r="H6" s="2" t="s">
        <v>4</v>
      </c>
      <c r="I6" s="5" t="s">
        <v>7</v>
      </c>
      <c r="J6" s="2"/>
      <c r="K6" s="2"/>
    </row>
    <row r="7" spans="1:22" x14ac:dyDescent="0.25">
      <c r="A7" s="3" t="s">
        <v>8</v>
      </c>
      <c r="B7" s="3"/>
      <c r="C7" s="3"/>
      <c r="D7" s="3"/>
      <c r="E7" s="3"/>
      <c r="F7" s="2" t="s">
        <v>9</v>
      </c>
      <c r="G7" s="2"/>
      <c r="H7" s="2"/>
      <c r="I7" s="2"/>
      <c r="J7" s="2"/>
      <c r="K7" s="2"/>
    </row>
    <row r="8" spans="1:2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2" x14ac:dyDescent="0.25">
      <c r="A9" s="2"/>
      <c r="B9" s="2"/>
      <c r="C9" s="2"/>
      <c r="D9" s="2"/>
      <c r="E9" s="2"/>
      <c r="F9" s="2"/>
      <c r="G9" s="2"/>
      <c r="H9" s="6" t="s">
        <v>10</v>
      </c>
      <c r="I9" s="7">
        <v>1</v>
      </c>
      <c r="J9" s="2"/>
      <c r="K9" s="2"/>
    </row>
    <row r="10" spans="1:2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22" x14ac:dyDescent="0.25">
      <c r="A11" s="10"/>
      <c r="B11" s="10"/>
      <c r="C11" s="10"/>
      <c r="D11" s="10"/>
      <c r="E11" s="10"/>
      <c r="F11" s="10"/>
      <c r="G11" s="11" t="s">
        <v>38</v>
      </c>
      <c r="H11" s="12">
        <v>43100</v>
      </c>
      <c r="I11" s="13" t="s">
        <v>38</v>
      </c>
      <c r="J11" s="14">
        <v>42735</v>
      </c>
      <c r="K11" s="10"/>
    </row>
    <row r="12" spans="1:22" x14ac:dyDescent="0.25">
      <c r="A12" s="13"/>
      <c r="B12" s="15"/>
      <c r="C12" s="15"/>
      <c r="D12" s="15"/>
      <c r="E12" s="15"/>
      <c r="F12" s="15"/>
      <c r="G12" s="16" t="s">
        <v>39</v>
      </c>
      <c r="H12" s="16" t="s">
        <v>40</v>
      </c>
      <c r="I12" s="16" t="s">
        <v>39</v>
      </c>
      <c r="J12" s="16" t="s">
        <v>40</v>
      </c>
      <c r="K12" s="16" t="s">
        <v>41</v>
      </c>
    </row>
    <row r="13" spans="1:22" outlineLevel="1" x14ac:dyDescent="0.25">
      <c r="A13" s="17" t="s">
        <v>73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22" outlineLevel="2" x14ac:dyDescent="0.25">
      <c r="A14" s="10"/>
      <c r="B14" s="17" t="s">
        <v>74</v>
      </c>
      <c r="C14" s="10"/>
      <c r="D14" s="10"/>
      <c r="E14" s="10"/>
      <c r="F14" s="10"/>
      <c r="G14" s="10"/>
      <c r="H14" s="10"/>
      <c r="I14" s="10"/>
      <c r="J14" s="10"/>
      <c r="K14" s="10"/>
    </row>
    <row r="15" spans="1:22" outlineLevel="3" x14ac:dyDescent="0.25">
      <c r="A15" s="10"/>
      <c r="B15" s="10"/>
      <c r="C15" s="17" t="s">
        <v>75</v>
      </c>
      <c r="D15" s="10"/>
      <c r="E15" s="10"/>
      <c r="F15" s="10"/>
      <c r="G15" s="10"/>
      <c r="H15" s="10"/>
      <c r="I15" s="10"/>
      <c r="J15" s="10"/>
      <c r="K15" s="10"/>
    </row>
    <row r="16" spans="1:22" outlineLevel="4" x14ac:dyDescent="0.25">
      <c r="A16" s="10"/>
      <c r="B16" s="10"/>
      <c r="C16" s="10"/>
      <c r="D16" s="17" t="s">
        <v>75</v>
      </c>
      <c r="E16" s="10"/>
      <c r="F16" s="10"/>
      <c r="G16" s="10"/>
      <c r="H16" s="10"/>
      <c r="I16" s="10"/>
      <c r="J16" s="10"/>
      <c r="K16" s="10"/>
    </row>
    <row r="17" spans="1:11" outlineLevel="4" x14ac:dyDescent="0.25">
      <c r="A17" s="10"/>
      <c r="B17" s="10"/>
      <c r="C17" s="10"/>
      <c r="D17" s="10"/>
      <c r="E17" s="18" t="s">
        <v>76</v>
      </c>
      <c r="F17" s="19" t="s">
        <v>77</v>
      </c>
      <c r="G17" s="20">
        <f xml:space="preserve"> 2400/I9</f>
        <v>2400</v>
      </c>
      <c r="H17" s="20"/>
      <c r="I17" s="20">
        <f xml:space="preserve"> 2400/I9</f>
        <v>2400</v>
      </c>
      <c r="J17" s="20"/>
      <c r="K17" s="21">
        <f>IF(ROUND(N($I$17),3) - ROUND(N($J$17),3)=0,0,(N($G$17)-N($H$17)-N($I$17)+N($J$17))/(N($I$17)-N($J$17)))</f>
        <v>0</v>
      </c>
    </row>
    <row r="18" spans="1:11" outlineLevel="3" x14ac:dyDescent="0.25">
      <c r="A18" s="10"/>
      <c r="B18" s="10"/>
      <c r="C18" s="10"/>
      <c r="D18" s="22" t="str">
        <f>CONCATENATE("Totaal"," ",$D$16)</f>
        <v>Totaal Overige kosten</v>
      </c>
      <c r="E18" s="10"/>
      <c r="F18" s="10"/>
      <c r="G18" s="23">
        <f>IF(SUBTOTAL(9,$G$17)&gt;=SUBTOTAL(9,$H$17),SUBTOTAL(9,$G$17)-SUBTOTAL(9,$H$17),"")</f>
        <v>2400</v>
      </c>
      <c r="H18" s="23" t="str">
        <f>IF(SUBTOTAL(9,$G$17)&lt;SUBTOTAL(9,$H$17),SUBTOTAL(9,$H$17)-SUBTOTAL(9,$G$17),"")</f>
        <v/>
      </c>
      <c r="I18" s="23">
        <f>IF(SUBTOTAL(9,$I$17)&gt;=SUBTOTAL(9,$J$17),SUBTOTAL(9,$I$17)-SUBTOTAL(9,$J$17),"")</f>
        <v>2400</v>
      </c>
      <c r="J18" s="23" t="str">
        <f>IF(SUBTOTAL(9,$I$17)&lt;SUBTOTAL(9,$J$17),SUBTOTAL(9,$J$17)-SUBTOTAL(9,$I$17),"")</f>
        <v/>
      </c>
      <c r="K18" s="24">
        <f>IF(ROUND(N($I$18),3) - ROUND(N($J$18),3)=0,0,(N($G$18)-N($H$18)-N($I$18)+N($J$18))/(N($I$18)-N($J$18)))</f>
        <v>0</v>
      </c>
    </row>
    <row r="19" spans="1:11" outlineLevel="3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outlineLevel="4" x14ac:dyDescent="0.25">
      <c r="A20" s="10"/>
      <c r="B20" s="10"/>
      <c r="C20" s="10"/>
      <c r="D20" s="17" t="s">
        <v>46</v>
      </c>
      <c r="E20" s="10"/>
      <c r="F20" s="10"/>
      <c r="G20" s="10"/>
      <c r="H20" s="10"/>
      <c r="I20" s="10"/>
      <c r="J20" s="10"/>
      <c r="K20" s="10"/>
    </row>
    <row r="21" spans="1:11" outlineLevel="4" x14ac:dyDescent="0.25">
      <c r="A21" s="10"/>
      <c r="B21" s="10"/>
      <c r="C21" s="10"/>
      <c r="D21" s="10"/>
      <c r="E21" s="18" t="s">
        <v>78</v>
      </c>
      <c r="F21" s="19" t="s">
        <v>79</v>
      </c>
      <c r="G21" s="20">
        <f xml:space="preserve"> 7541.57/I9</f>
        <v>7541.57</v>
      </c>
      <c r="H21" s="20"/>
      <c r="I21" s="20">
        <f xml:space="preserve"> 6332.01/I9</f>
        <v>6332.01</v>
      </c>
      <c r="J21" s="20"/>
      <c r="K21" s="21">
        <f>IF(ROUND(N($I$21),3) - ROUND(N($J$21),3)=0,0,(N($G$21)-N($H$21)-N($I$21)+N($J$21))/(N($I$21)-N($J$21)))</f>
        <v>0.19102307166286842</v>
      </c>
    </row>
    <row r="22" spans="1:11" outlineLevel="3" x14ac:dyDescent="0.25">
      <c r="A22" s="10"/>
      <c r="B22" s="10"/>
      <c r="C22" s="10"/>
      <c r="D22" s="22" t="str">
        <f>CONCATENATE("Totaal"," ",$D$20)</f>
        <v>Totaal Onroerend Goed</v>
      </c>
      <c r="E22" s="10"/>
      <c r="F22" s="10"/>
      <c r="G22" s="23">
        <f>IF(SUBTOTAL(9,$G$21)&gt;=SUBTOTAL(9,$H$21),SUBTOTAL(9,$G$21)-SUBTOTAL(9,$H$21),"")</f>
        <v>7541.57</v>
      </c>
      <c r="H22" s="23" t="str">
        <f>IF(SUBTOTAL(9,$G$21)&lt;SUBTOTAL(9,$H$21),SUBTOTAL(9,$H$21)-SUBTOTAL(9,$G$21),"")</f>
        <v/>
      </c>
      <c r="I22" s="23">
        <f>IF(SUBTOTAL(9,$I$21)&gt;=SUBTOTAL(9,$J$21),SUBTOTAL(9,$I$21)-SUBTOTAL(9,$J$21),"")</f>
        <v>6332.01</v>
      </c>
      <c r="J22" s="23" t="str">
        <f>IF(SUBTOTAL(9,$I$21)&lt;SUBTOTAL(9,$J$21),SUBTOTAL(9,$J$21)-SUBTOTAL(9,$I$21),"")</f>
        <v/>
      </c>
      <c r="K22" s="24">
        <f>IF(ROUND(N($I$22),3) - ROUND(N($J$22),3)=0,0,(N($G$22)-N($H$22)-N($I$22)+N($J$22))/(N($I$22)-N($J$22)))</f>
        <v>0.19102307166286842</v>
      </c>
    </row>
    <row r="23" spans="1:11" outlineLevel="3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outlineLevel="2" x14ac:dyDescent="0.25">
      <c r="A24" s="10"/>
      <c r="B24" s="10"/>
      <c r="C24" s="22" t="str">
        <f>CONCATENATE("Totaal"," ",$C$15)</f>
        <v>Totaal Overige kosten</v>
      </c>
      <c r="D24" s="10"/>
      <c r="E24" s="10"/>
      <c r="F24" s="10"/>
      <c r="G24" s="23">
        <f>IF(SUBTOTAL(9,$G$16:$G$23)&gt;=SUBTOTAL(9,$H$16:$H$23),SUBTOTAL(9,$G$16:$G$23)-SUBTOTAL(9,$H$16:$H$23),"")</f>
        <v>9941.57</v>
      </c>
      <c r="H24" s="23" t="str">
        <f>IF(SUBTOTAL(9,$G$16:$G$23)&lt;SUBTOTAL(9,$H$16:$H$23),SUBTOTAL(9,$H$16:$H$23)-SUBTOTAL(9,$G$16:$G$23),"")</f>
        <v/>
      </c>
      <c r="I24" s="23">
        <f>IF(SUBTOTAL(9,$I$16:$I$23)&gt;=SUBTOTAL(9,$J$16:$J$23),SUBTOTAL(9,$I$16:$I$23)-SUBTOTAL(9,$J$16:$J$23),"")</f>
        <v>8732.01</v>
      </c>
      <c r="J24" s="23" t="str">
        <f>IF(SUBTOTAL(9,$I$16:$I$23)&lt;SUBTOTAL(9,$J$16:$J$23),SUBTOTAL(9,$J$16:$J$23)-SUBTOTAL(9,$I$16:$I$23),"")</f>
        <v/>
      </c>
      <c r="K24" s="24">
        <f>IF(ROUND(N($I$24),3) - ROUND(N($J$24),3)=0,0,(N($G$24)-N($H$24)-N($I$24)+N($J$24))/(N($I$24)-N($J$24)))</f>
        <v>0.13852022615640608</v>
      </c>
    </row>
    <row r="25" spans="1:11" outlineLevel="2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</row>
    <row r="26" spans="1:11" outlineLevel="3" x14ac:dyDescent="0.25">
      <c r="A26" s="10"/>
      <c r="B26" s="10"/>
      <c r="C26" s="17" t="s">
        <v>80</v>
      </c>
      <c r="D26" s="10"/>
      <c r="E26" s="10"/>
      <c r="F26" s="10"/>
      <c r="G26" s="10"/>
      <c r="H26" s="10"/>
      <c r="I26" s="10"/>
      <c r="J26" s="10"/>
      <c r="K26" s="10"/>
    </row>
    <row r="27" spans="1:11" outlineLevel="4" x14ac:dyDescent="0.25">
      <c r="A27" s="10"/>
      <c r="B27" s="10"/>
      <c r="C27" s="10"/>
      <c r="D27" s="17" t="s">
        <v>81</v>
      </c>
      <c r="E27" s="10"/>
      <c r="F27" s="10"/>
      <c r="G27" s="10"/>
      <c r="H27" s="10"/>
      <c r="I27" s="10"/>
      <c r="J27" s="10"/>
      <c r="K27" s="10"/>
    </row>
    <row r="28" spans="1:11" outlineLevel="4" x14ac:dyDescent="0.25">
      <c r="A28" s="10"/>
      <c r="B28" s="10"/>
      <c r="C28" s="10"/>
      <c r="D28" s="10"/>
      <c r="E28" s="18" t="s">
        <v>82</v>
      </c>
      <c r="F28" s="19" t="s">
        <v>83</v>
      </c>
      <c r="G28" s="20">
        <f xml:space="preserve"> 2167.2/I9</f>
        <v>2167.1999999999998</v>
      </c>
      <c r="H28" s="20"/>
      <c r="I28" s="20">
        <f xml:space="preserve"> 2167.2/I9</f>
        <v>2167.1999999999998</v>
      </c>
      <c r="J28" s="20"/>
      <c r="K28" s="21">
        <f>IF(ROUND(N($I$28),3) - ROUND(N($J$28),3)=0,0,(N($G$28)-N($H$28)-N($I$28)+N($J$28))/(N($I$28)-N($J$28)))</f>
        <v>0</v>
      </c>
    </row>
    <row r="29" spans="1:11" outlineLevel="3" x14ac:dyDescent="0.25">
      <c r="A29" s="10"/>
      <c r="B29" s="10"/>
      <c r="C29" s="10"/>
      <c r="D29" s="22" t="str">
        <f>CONCATENATE("Totaal"," ",$D$27)</f>
        <v>Totaal Bestuur</v>
      </c>
      <c r="E29" s="10"/>
      <c r="F29" s="10"/>
      <c r="G29" s="23">
        <f>IF(SUBTOTAL(9,$G$28)&gt;=SUBTOTAL(9,$H$28),SUBTOTAL(9,$G$28)-SUBTOTAL(9,$H$28),"")</f>
        <v>2167.1999999999998</v>
      </c>
      <c r="H29" s="23" t="str">
        <f>IF(SUBTOTAL(9,$G$28)&lt;SUBTOTAL(9,$H$28),SUBTOTAL(9,$H$28)-SUBTOTAL(9,$G$28),"")</f>
        <v/>
      </c>
      <c r="I29" s="23">
        <f>IF(SUBTOTAL(9,$I$28)&gt;=SUBTOTAL(9,$J$28),SUBTOTAL(9,$I$28)-SUBTOTAL(9,$J$28),"")</f>
        <v>2167.1999999999998</v>
      </c>
      <c r="J29" s="23" t="str">
        <f>IF(SUBTOTAL(9,$I$28)&lt;SUBTOTAL(9,$J$28),SUBTOTAL(9,$J$28)-SUBTOTAL(9,$I$28),"")</f>
        <v/>
      </c>
      <c r="K29" s="24">
        <f>IF(ROUND(N($I$29),3) - ROUND(N($J$29),3)=0,0,(N($G$29)-N($H$29)-N($I$29)+N($J$29))/(N($I$29)-N($J$29)))</f>
        <v>0</v>
      </c>
    </row>
    <row r="30" spans="1:11" outlineLevel="3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</row>
    <row r="31" spans="1:11" outlineLevel="4" x14ac:dyDescent="0.25">
      <c r="A31" s="10"/>
      <c r="B31" s="10"/>
      <c r="C31" s="10"/>
      <c r="D31" s="17" t="s">
        <v>84</v>
      </c>
      <c r="E31" s="10"/>
      <c r="F31" s="10"/>
      <c r="G31" s="10"/>
      <c r="H31" s="10"/>
      <c r="I31" s="10"/>
      <c r="J31" s="10"/>
      <c r="K31" s="10"/>
    </row>
    <row r="32" spans="1:11" outlineLevel="4" x14ac:dyDescent="0.25">
      <c r="A32" s="10"/>
      <c r="B32" s="10"/>
      <c r="C32" s="10"/>
      <c r="D32" s="10"/>
      <c r="E32" s="18" t="s">
        <v>85</v>
      </c>
      <c r="F32" s="19" t="s">
        <v>84</v>
      </c>
      <c r="G32" s="20">
        <f xml:space="preserve"> 9574.56/I9</f>
        <v>9574.56</v>
      </c>
      <c r="H32" s="20"/>
      <c r="I32" s="20">
        <f xml:space="preserve"> 9892.83/I9</f>
        <v>9892.83</v>
      </c>
      <c r="J32" s="20"/>
      <c r="K32" s="21">
        <f>IF(ROUND(N($I$32),3) - ROUND(N($J$32),3)=0,0,(N($G$32)-N($H$32)-N($I$32)+N($J$32))/(N($I$32)-N($J$32)))</f>
        <v>-3.2171785020060024E-2</v>
      </c>
    </row>
    <row r="33" spans="1:11" outlineLevel="4" x14ac:dyDescent="0.25">
      <c r="A33" s="10"/>
      <c r="B33" s="10"/>
      <c r="C33" s="10"/>
      <c r="D33" s="10"/>
      <c r="E33" s="18" t="s">
        <v>86</v>
      </c>
      <c r="F33" s="19" t="s">
        <v>87</v>
      </c>
      <c r="G33" s="20">
        <f xml:space="preserve"> 124.43/I9</f>
        <v>124.43</v>
      </c>
      <c r="H33" s="20"/>
      <c r="I33" s="20">
        <f xml:space="preserve"> 111.68/I9</f>
        <v>111.68</v>
      </c>
      <c r="J33" s="20"/>
      <c r="K33" s="21">
        <f>IF(ROUND(N($I$33),3) - ROUND(N($J$33),3)=0,0,(N($G$33)-N($H$33)-N($I$33)+N($J$33))/(N($I$33)-N($J$33)))</f>
        <v>0.11416547277936961</v>
      </c>
    </row>
    <row r="34" spans="1:11" outlineLevel="3" x14ac:dyDescent="0.25">
      <c r="A34" s="10"/>
      <c r="B34" s="10"/>
      <c r="C34" s="10"/>
      <c r="D34" s="22" t="str">
        <f>CONCATENATE("Totaal"," ",$D$31)</f>
        <v>Totaal Administratiekosten</v>
      </c>
      <c r="E34" s="10"/>
      <c r="F34" s="10"/>
      <c r="G34" s="23">
        <f>IF(SUBTOTAL(9,$G$32:$G$33)&gt;=SUBTOTAL(9,$H$32:$H$33),SUBTOTAL(9,$G$32:$G$33)-SUBTOTAL(9,$H$32:$H$33),"")</f>
        <v>9698.99</v>
      </c>
      <c r="H34" s="23" t="str">
        <f>IF(SUBTOTAL(9,$G$32:$G$33)&lt;SUBTOTAL(9,$H$32:$H$33),SUBTOTAL(9,$H$32:$H$33)-SUBTOTAL(9,$G$32:$G$33),"")</f>
        <v/>
      </c>
      <c r="I34" s="23">
        <f>IF(SUBTOTAL(9,$I$32:$I$33)&gt;=SUBTOTAL(9,$J$32:$J$33),SUBTOTAL(9,$I$32:$I$33)-SUBTOTAL(9,$J$32:$J$33),"")</f>
        <v>10004.51</v>
      </c>
      <c r="J34" s="23" t="str">
        <f>IF(SUBTOTAL(9,$I$32:$I$33)&lt;SUBTOTAL(9,$J$32:$J$33),SUBTOTAL(9,$J$32:$J$33)-SUBTOTAL(9,$I$32:$I$33),"")</f>
        <v/>
      </c>
      <c r="K34" s="24">
        <f>IF(ROUND(N($I$34),3) - ROUND(N($J$34),3)=0,0,(N($G$34)-N($H$34)-N($I$34)+N($J$34))/(N($I$34)-N($J$34)))</f>
        <v>-3.0538227259506005E-2</v>
      </c>
    </row>
    <row r="35" spans="1:11" outlineLevel="3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outlineLevel="2" x14ac:dyDescent="0.25">
      <c r="A36" s="10"/>
      <c r="B36" s="10"/>
      <c r="C36" s="22" t="str">
        <f>CONCATENATE("Totaal"," ",$C$26)</f>
        <v>Totaal Stichtingskosten</v>
      </c>
      <c r="D36" s="10"/>
      <c r="E36" s="10"/>
      <c r="F36" s="10"/>
      <c r="G36" s="23">
        <f>IF(SUBTOTAL(9,$G$27:$G$35)&gt;=SUBTOTAL(9,$H$27:$H$35),SUBTOTAL(9,$G$27:$G$35)-SUBTOTAL(9,$H$27:$H$35),"")</f>
        <v>11866.189999999999</v>
      </c>
      <c r="H36" s="23" t="str">
        <f>IF(SUBTOTAL(9,$G$27:$G$35)&lt;SUBTOTAL(9,$H$27:$H$35),SUBTOTAL(9,$H$27:$H$35)-SUBTOTAL(9,$G$27:$G$35),"")</f>
        <v/>
      </c>
      <c r="I36" s="23">
        <f>IF(SUBTOTAL(9,$I$27:$I$35)&gt;=SUBTOTAL(9,$J$27:$J$35),SUBTOTAL(9,$I$27:$I$35)-SUBTOTAL(9,$J$27:$J$35),"")</f>
        <v>12171.71</v>
      </c>
      <c r="J36" s="23" t="str">
        <f>IF(SUBTOTAL(9,$I$27:$I$35)&lt;SUBTOTAL(9,$J$27:$J$35),SUBTOTAL(9,$J$27:$J$35)-SUBTOTAL(9,$I$27:$I$35),"")</f>
        <v/>
      </c>
      <c r="K36" s="24">
        <f>IF(ROUND(N($I$36),3) - ROUND(N($J$36),3)=0,0,(N($G$36)-N($H$36)-N($I$36)+N($J$36))/(N($I$36)-N($J$36)))</f>
        <v>-2.5100828067707862E-2</v>
      </c>
    </row>
    <row r="37" spans="1:11" outlineLevel="2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</row>
    <row r="38" spans="1:11" outlineLevel="3" x14ac:dyDescent="0.25">
      <c r="A38" s="10"/>
      <c r="B38" s="10"/>
      <c r="C38" s="17" t="s">
        <v>88</v>
      </c>
      <c r="D38" s="10"/>
      <c r="E38" s="10"/>
      <c r="F38" s="10"/>
      <c r="G38" s="10"/>
      <c r="H38" s="10"/>
      <c r="I38" s="10"/>
      <c r="J38" s="10"/>
      <c r="K38" s="10"/>
    </row>
    <row r="39" spans="1:11" outlineLevel="4" x14ac:dyDescent="0.25">
      <c r="A39" s="10"/>
      <c r="B39" s="10"/>
      <c r="C39" s="10"/>
      <c r="D39" s="17" t="s">
        <v>89</v>
      </c>
      <c r="E39" s="10"/>
      <c r="F39" s="10"/>
      <c r="G39" s="10"/>
      <c r="H39" s="10"/>
      <c r="I39" s="10"/>
      <c r="J39" s="10"/>
      <c r="K39" s="10"/>
    </row>
    <row r="40" spans="1:11" outlineLevel="4" x14ac:dyDescent="0.25">
      <c r="A40" s="10"/>
      <c r="B40" s="10"/>
      <c r="C40" s="10"/>
      <c r="D40" s="10"/>
      <c r="E40" s="18" t="s">
        <v>90</v>
      </c>
      <c r="F40" s="19" t="s">
        <v>91</v>
      </c>
      <c r="G40" s="20">
        <f xml:space="preserve"> 2300/I9</f>
        <v>2300</v>
      </c>
      <c r="H40" s="20"/>
      <c r="I40" s="20">
        <f xml:space="preserve"> 2700/I9</f>
        <v>2700</v>
      </c>
      <c r="J40" s="20"/>
      <c r="K40" s="21">
        <f>IF(ROUND(N($I$40),3) - ROUND(N($J$40),3)=0,0,(N($G$40)-N($H$40)-N($I$40)+N($J$40))/(N($I$40)-N($J$40)))</f>
        <v>-0.14814814814814814</v>
      </c>
    </row>
    <row r="41" spans="1:11" outlineLevel="4" x14ac:dyDescent="0.25">
      <c r="A41" s="10"/>
      <c r="B41" s="10"/>
      <c r="C41" s="10"/>
      <c r="D41" s="10"/>
      <c r="E41" s="18" t="s">
        <v>92</v>
      </c>
      <c r="F41" s="19" t="s">
        <v>93</v>
      </c>
      <c r="G41" s="20">
        <f xml:space="preserve"> 475.56/I9</f>
        <v>475.56</v>
      </c>
      <c r="H41" s="20"/>
      <c r="I41" s="20">
        <f xml:space="preserve"> 0/I9</f>
        <v>0</v>
      </c>
      <c r="J41" s="20"/>
      <c r="K41" s="21">
        <f>IF(ROUND(N($I$41),3) - ROUND(N($J$41),3)=0,0,(N($G$41)-N($H$41)-N($I$41)+N($J$41))/(N($I$41)-N($J$41)))</f>
        <v>0</v>
      </c>
    </row>
    <row r="42" spans="1:11" outlineLevel="3" x14ac:dyDescent="0.25">
      <c r="A42" s="10"/>
      <c r="B42" s="10"/>
      <c r="C42" s="10"/>
      <c r="D42" s="22" t="str">
        <f>CONCATENATE("Totaal"," ",$D$39)</f>
        <v>Totaal Uitgaande donaties</v>
      </c>
      <c r="E42" s="10"/>
      <c r="F42" s="10"/>
      <c r="G42" s="23">
        <f>IF(SUBTOTAL(9,$G$40:$G$41)&gt;=SUBTOTAL(9,$H$40:$H$41),SUBTOTAL(9,$G$40:$G$41)-SUBTOTAL(9,$H$40:$H$41),"")</f>
        <v>2775.56</v>
      </c>
      <c r="H42" s="23" t="str">
        <f>IF(SUBTOTAL(9,$G$40:$G$41)&lt;SUBTOTAL(9,$H$40:$H$41),SUBTOTAL(9,$H$40:$H$41)-SUBTOTAL(9,$G$40:$G$41),"")</f>
        <v/>
      </c>
      <c r="I42" s="23">
        <f>IF(SUBTOTAL(9,$I$40:$I$41)&gt;=SUBTOTAL(9,$J$40:$J$41),SUBTOTAL(9,$I$40:$I$41)-SUBTOTAL(9,$J$40:$J$41),"")</f>
        <v>2700</v>
      </c>
      <c r="J42" s="23" t="str">
        <f>IF(SUBTOTAL(9,$I$40:$I$41)&lt;SUBTOTAL(9,$J$40:$J$41),SUBTOTAL(9,$J$40:$J$41)-SUBTOTAL(9,$I$40:$I$41),"")</f>
        <v/>
      </c>
      <c r="K42" s="24">
        <f>IF(ROUND(N($I$42),3) - ROUND(N($J$42),3)=0,0,(N($G$42)-N($H$42)-N($I$42)+N($J$42))/(N($I$42)-N($J$42)))</f>
        <v>2.7985185185185165E-2</v>
      </c>
    </row>
    <row r="43" spans="1:11" outlineLevel="3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1" outlineLevel="2" x14ac:dyDescent="0.25">
      <c r="A44" s="10"/>
      <c r="B44" s="10"/>
      <c r="C44" s="22" t="str">
        <f>CONCATENATE("Totaal"," ",$C$38)</f>
        <v>Totaal Uitgaven</v>
      </c>
      <c r="D44" s="10"/>
      <c r="E44" s="10"/>
      <c r="F44" s="10"/>
      <c r="G44" s="23">
        <f>IF(SUBTOTAL(9,$G$39:$G$43)&gt;=SUBTOTAL(9,$H$39:$H$43),SUBTOTAL(9,$G$39:$G$43)-SUBTOTAL(9,$H$39:$H$43),"")</f>
        <v>2775.56</v>
      </c>
      <c r="H44" s="23" t="str">
        <f>IF(SUBTOTAL(9,$G$39:$G$43)&lt;SUBTOTAL(9,$H$39:$H$43),SUBTOTAL(9,$H$39:$H$43)-SUBTOTAL(9,$G$39:$G$43),"")</f>
        <v/>
      </c>
      <c r="I44" s="23">
        <f>IF(SUBTOTAL(9,$I$39:$I$43)&gt;=SUBTOTAL(9,$J$39:$J$43),SUBTOTAL(9,$I$39:$I$43)-SUBTOTAL(9,$J$39:$J$43),"")</f>
        <v>2700</v>
      </c>
      <c r="J44" s="23" t="str">
        <f>IF(SUBTOTAL(9,$I$39:$I$43)&lt;SUBTOTAL(9,$J$39:$J$43),SUBTOTAL(9,$J$39:$J$43)-SUBTOTAL(9,$I$39:$I$43),"")</f>
        <v/>
      </c>
      <c r="K44" s="24">
        <f>IF(ROUND(N($I$44),3) - ROUND(N($J$44),3)=0,0,(N($G$44)-N($H$44)-N($I$44)+N($J$44))/(N($I$44)-N($J$44)))</f>
        <v>2.7985185185185165E-2</v>
      </c>
    </row>
    <row r="45" spans="1:11" outlineLevel="2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1" outlineLevel="1" x14ac:dyDescent="0.25">
      <c r="A46" s="10"/>
      <c r="B46" s="22" t="str">
        <f>CONCATENATE("Totaal"," ",$B$14)</f>
        <v>Totaal Kosten</v>
      </c>
      <c r="C46" s="10"/>
      <c r="D46" s="10"/>
      <c r="E46" s="10"/>
      <c r="F46" s="10"/>
      <c r="G46" s="23">
        <f>IF(SUBTOTAL(9,$G$15:$G$45)&gt;=SUBTOTAL(9,$H$15:$H$45),SUBTOTAL(9,$G$15:$G$45)-SUBTOTAL(9,$H$15:$H$45),"")</f>
        <v>24583.320000000003</v>
      </c>
      <c r="H46" s="23" t="str">
        <f>IF(SUBTOTAL(9,$G$15:$G$45)&lt;SUBTOTAL(9,$H$15:$H$45),SUBTOTAL(9,$H$15:$H$45)-SUBTOTAL(9,$G$15:$G$45),"")</f>
        <v/>
      </c>
      <c r="I46" s="23">
        <f>IF(SUBTOTAL(9,$I$15:$I$45)&gt;=SUBTOTAL(9,$J$15:$J$45),SUBTOTAL(9,$I$15:$I$45)-SUBTOTAL(9,$J$15:$J$45),"")</f>
        <v>23603.72</v>
      </c>
      <c r="J46" s="23" t="str">
        <f>IF(SUBTOTAL(9,$I$15:$I$45)&lt;SUBTOTAL(9,$J$15:$J$45),SUBTOTAL(9,$J$15:$J$45)-SUBTOTAL(9,$I$15:$I$45),"")</f>
        <v/>
      </c>
      <c r="K46" s="24">
        <f>IF(ROUND(N($I$46),3) - ROUND(N($J$46),3)=0,0,(N($G$46)-N($H$46)-N($I$46)+N($J$46))/(N($I$46)-N($J$46)))</f>
        <v>4.1501932746194334E-2</v>
      </c>
    </row>
    <row r="47" spans="1:11" outlineLevel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</row>
    <row r="48" spans="1:11" outlineLevel="2" x14ac:dyDescent="0.25">
      <c r="A48" s="10"/>
      <c r="B48" s="17" t="s">
        <v>94</v>
      </c>
      <c r="C48" s="10"/>
      <c r="D48" s="10"/>
      <c r="E48" s="10"/>
      <c r="F48" s="10"/>
      <c r="G48" s="10"/>
      <c r="H48" s="10"/>
      <c r="I48" s="10"/>
      <c r="J48" s="10"/>
      <c r="K48" s="10"/>
    </row>
    <row r="49" spans="1:11" outlineLevel="3" x14ac:dyDescent="0.25">
      <c r="A49" s="10"/>
      <c r="B49" s="10"/>
      <c r="C49" s="17" t="s">
        <v>95</v>
      </c>
      <c r="D49" s="10"/>
      <c r="E49" s="10"/>
      <c r="F49" s="10"/>
      <c r="G49" s="10"/>
      <c r="H49" s="10"/>
      <c r="I49" s="10"/>
      <c r="J49" s="10"/>
      <c r="K49" s="10"/>
    </row>
    <row r="50" spans="1:11" outlineLevel="4" x14ac:dyDescent="0.25">
      <c r="A50" s="10"/>
      <c r="B50" s="10"/>
      <c r="C50" s="10"/>
      <c r="D50" s="17" t="s">
        <v>96</v>
      </c>
      <c r="E50" s="10"/>
      <c r="F50" s="10"/>
      <c r="G50" s="10"/>
      <c r="H50" s="10"/>
      <c r="I50" s="10"/>
      <c r="J50" s="10"/>
      <c r="K50" s="10"/>
    </row>
    <row r="51" spans="1:11" outlineLevel="4" x14ac:dyDescent="0.25">
      <c r="A51" s="10"/>
      <c r="B51" s="10"/>
      <c r="C51" s="10"/>
      <c r="D51" s="10"/>
      <c r="E51" s="18" t="s">
        <v>97</v>
      </c>
      <c r="F51" s="19" t="s">
        <v>98</v>
      </c>
      <c r="G51" s="20">
        <f xml:space="preserve"> 0/I9</f>
        <v>0</v>
      </c>
      <c r="H51" s="20"/>
      <c r="I51" s="20"/>
      <c r="J51" s="20">
        <f xml:space="preserve"> 3021.88/I9</f>
        <v>3021.88</v>
      </c>
      <c r="K51" s="21">
        <f>IF(ROUND(N($I$51),3) - ROUND(N($J$51),3)=0,0,(N($G$51)-N($H$51)-N($I$51)+N($J$51))/(N($I$51)-N($J$51)))</f>
        <v>-1</v>
      </c>
    </row>
    <row r="52" spans="1:11" outlineLevel="3" x14ac:dyDescent="0.25">
      <c r="A52" s="10"/>
      <c r="B52" s="10"/>
      <c r="C52" s="10"/>
      <c r="D52" s="22" t="str">
        <f>CONCATENATE("Totaal"," ",$D$50)</f>
        <v>Totaal Ontvangen donaties</v>
      </c>
      <c r="E52" s="10"/>
      <c r="F52" s="10"/>
      <c r="G52" s="23">
        <f>IF(SUBTOTAL(9,$G$51)&gt;=SUBTOTAL(9,$H$51),SUBTOTAL(9,$G$51)-SUBTOTAL(9,$H$51),"")</f>
        <v>0</v>
      </c>
      <c r="H52" s="23" t="str">
        <f>IF(SUBTOTAL(9,$G$51)&lt;SUBTOTAL(9,$H$51),SUBTOTAL(9,$H$51)-SUBTOTAL(9,$G$51),"")</f>
        <v/>
      </c>
      <c r="I52" s="23" t="str">
        <f>IF(SUBTOTAL(9,$I$51)&gt;=SUBTOTAL(9,$J$51),SUBTOTAL(9,$I$51)-SUBTOTAL(9,$J$51),"")</f>
        <v/>
      </c>
      <c r="J52" s="23">
        <f>IF(SUBTOTAL(9,$I$51)&lt;SUBTOTAL(9,$J$51),SUBTOTAL(9,$J$51)-SUBTOTAL(9,$I$51),"")</f>
        <v>3021.88</v>
      </c>
      <c r="K52" s="24">
        <f>IF(ROUND(N($I$52),3) - ROUND(N($J$52),3)=0,0,(N($G$52)-N($H$52)-N($I$52)+N($J$52))/(N($I$52)-N($J$52)))</f>
        <v>-1</v>
      </c>
    </row>
    <row r="53" spans="1:11" outlineLevel="3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</row>
    <row r="54" spans="1:11" outlineLevel="4" x14ac:dyDescent="0.25">
      <c r="A54" s="10"/>
      <c r="B54" s="10"/>
      <c r="C54" s="10"/>
      <c r="D54" s="17" t="s">
        <v>99</v>
      </c>
      <c r="E54" s="10"/>
      <c r="F54" s="10"/>
      <c r="G54" s="10"/>
      <c r="H54" s="10"/>
      <c r="I54" s="10"/>
      <c r="J54" s="10"/>
      <c r="K54" s="10"/>
    </row>
    <row r="55" spans="1:11" outlineLevel="4" x14ac:dyDescent="0.25">
      <c r="A55" s="10"/>
      <c r="B55" s="10"/>
      <c r="C55" s="10"/>
      <c r="D55" s="10"/>
      <c r="E55" s="18" t="s">
        <v>100</v>
      </c>
      <c r="F55" s="19" t="s">
        <v>101</v>
      </c>
      <c r="G55" s="20"/>
      <c r="H55" s="20">
        <f xml:space="preserve"> 18167.17/I9</f>
        <v>18167.169999999998</v>
      </c>
      <c r="I55" s="20"/>
      <c r="J55" s="20">
        <f xml:space="preserve"> 20281.44/I9</f>
        <v>20281.439999999999</v>
      </c>
      <c r="K55" s="21">
        <f>IF(ROUND(N($I$55),3) - ROUND(N($J$55),3)=0,0,(N($G$55)-N($H$55)-N($I$55)+N($J$55))/(N($I$55)-N($J$55)))</f>
        <v>-0.10424654265180384</v>
      </c>
    </row>
    <row r="56" spans="1:11" outlineLevel="3" x14ac:dyDescent="0.25">
      <c r="A56" s="10"/>
      <c r="B56" s="10"/>
      <c r="C56" s="10"/>
      <c r="D56" s="22" t="str">
        <f>CONCATENATE("Totaal"," ",$D$54)</f>
        <v>Totaal Ontvangen huur</v>
      </c>
      <c r="E56" s="10"/>
      <c r="F56" s="10"/>
      <c r="G56" s="23" t="str">
        <f>IF(SUBTOTAL(9,$G$55)&gt;=SUBTOTAL(9,$H$55),SUBTOTAL(9,$G$55)-SUBTOTAL(9,$H$55),"")</f>
        <v/>
      </c>
      <c r="H56" s="23">
        <f>IF(SUBTOTAL(9,$G$55)&lt;SUBTOTAL(9,$H$55),SUBTOTAL(9,$H$55)-SUBTOTAL(9,$G$55),"")</f>
        <v>18167.169999999998</v>
      </c>
      <c r="I56" s="23" t="str">
        <f>IF(SUBTOTAL(9,$I$55)&gt;=SUBTOTAL(9,$J$55),SUBTOTAL(9,$I$55)-SUBTOTAL(9,$J$55),"")</f>
        <v/>
      </c>
      <c r="J56" s="23">
        <f>IF(SUBTOTAL(9,$I$55)&lt;SUBTOTAL(9,$J$55),SUBTOTAL(9,$J$55)-SUBTOTAL(9,$I$55),"")</f>
        <v>20281.439999999999</v>
      </c>
      <c r="K56" s="24">
        <f>IF(ROUND(N($I$56),3) - ROUND(N($J$56),3)=0,0,(N($G$56)-N($H$56)-N($I$56)+N($J$56))/(N($I$56)-N($J$56)))</f>
        <v>-0.10424654265180384</v>
      </c>
    </row>
    <row r="57" spans="1:11" outlineLevel="3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</row>
    <row r="58" spans="1:11" outlineLevel="4" x14ac:dyDescent="0.25">
      <c r="A58" s="10"/>
      <c r="B58" s="10"/>
      <c r="C58" s="10"/>
      <c r="D58" s="17" t="s">
        <v>102</v>
      </c>
      <c r="E58" s="10"/>
      <c r="F58" s="10"/>
      <c r="G58" s="10"/>
      <c r="H58" s="10"/>
      <c r="I58" s="10"/>
      <c r="J58" s="10"/>
      <c r="K58" s="10"/>
    </row>
    <row r="59" spans="1:11" outlineLevel="4" x14ac:dyDescent="0.25">
      <c r="A59" s="10"/>
      <c r="B59" s="10"/>
      <c r="C59" s="10"/>
      <c r="D59" s="10"/>
      <c r="E59" s="18" t="s">
        <v>103</v>
      </c>
      <c r="F59" s="19" t="s">
        <v>104</v>
      </c>
      <c r="G59" s="20"/>
      <c r="H59" s="20">
        <f xml:space="preserve"> 22422.67/I9</f>
        <v>22422.67</v>
      </c>
      <c r="I59" s="20"/>
      <c r="J59" s="20">
        <f xml:space="preserve"> 22469.35/I9</f>
        <v>22469.35</v>
      </c>
      <c r="K59" s="21">
        <f>IF(ROUND(N($I$59),3) - ROUND(N($J$59),3)=0,0,(N($G$59)-N($H$59)-N($I$59)+N($J$59))/(N($I$59)-N($J$59)))</f>
        <v>-2.0774966788091463E-3</v>
      </c>
    </row>
    <row r="60" spans="1:11" outlineLevel="4" x14ac:dyDescent="0.25">
      <c r="A60" s="10"/>
      <c r="B60" s="10"/>
      <c r="C60" s="10"/>
      <c r="D60" s="10"/>
      <c r="E60" s="18" t="s">
        <v>105</v>
      </c>
      <c r="F60" s="19" t="s">
        <v>106</v>
      </c>
      <c r="G60" s="20">
        <f xml:space="preserve"> 15737.73/I9</f>
        <v>15737.73</v>
      </c>
      <c r="H60" s="20"/>
      <c r="I60" s="20">
        <f xml:space="preserve"> 16052.26/I9</f>
        <v>16052.26</v>
      </c>
      <c r="J60" s="20"/>
      <c r="K60" s="21">
        <f>IF(ROUND(N($I$60),3) - ROUND(N($J$60),3)=0,0,(N($G$60)-N($H$60)-N($I$60)+N($J$60))/(N($I$60)-N($J$60)))</f>
        <v>-1.959412568697496E-2</v>
      </c>
    </row>
    <row r="61" spans="1:11" outlineLevel="3" x14ac:dyDescent="0.25">
      <c r="A61" s="10"/>
      <c r="B61" s="10"/>
      <c r="C61" s="10"/>
      <c r="D61" s="22" t="str">
        <f>CONCATENATE("Totaal"," ",$D$58)</f>
        <v>Totaal Financiële resultaat</v>
      </c>
      <c r="E61" s="10"/>
      <c r="F61" s="10"/>
      <c r="G61" s="23" t="str">
        <f>IF(SUBTOTAL(9,$G$59:$G$60)&gt;=SUBTOTAL(9,$H$59:$H$60),SUBTOTAL(9,$G$59:$G$60)-SUBTOTAL(9,$H$59:$H$60),"")</f>
        <v/>
      </c>
      <c r="H61" s="23">
        <f>IF(SUBTOTAL(9,$G$59:$G$60)&lt;SUBTOTAL(9,$H$59:$H$60),SUBTOTAL(9,$H$59:$H$60)-SUBTOTAL(9,$G$59:$G$60),"")</f>
        <v>6684.9399999999987</v>
      </c>
      <c r="I61" s="23" t="str">
        <f>IF(SUBTOTAL(9,$I$59:$I$60)&gt;=SUBTOTAL(9,$J$59:$J$60),SUBTOTAL(9,$I$59:$I$60)-SUBTOTAL(9,$J$59:$J$60),"")</f>
        <v/>
      </c>
      <c r="J61" s="23">
        <f>IF(SUBTOTAL(9,$I$59:$I$60)&lt;SUBTOTAL(9,$J$59:$J$60),SUBTOTAL(9,$J$59:$J$60)-SUBTOTAL(9,$I$59:$I$60),"")</f>
        <v>6417.0899999999983</v>
      </c>
      <c r="K61" s="24">
        <f>IF(ROUND(N($I$61),3) - ROUND(N($J$61),3)=0,0,(N($G$61)-N($H$61)-N($I$61)+N($J$61))/(N($I$61)-N($J$61)))</f>
        <v>4.1740103380192649E-2</v>
      </c>
    </row>
    <row r="62" spans="1:11" outlineLevel="3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</row>
    <row r="63" spans="1:11" outlineLevel="2" x14ac:dyDescent="0.25">
      <c r="A63" s="10"/>
      <c r="B63" s="10"/>
      <c r="C63" s="22" t="str">
        <f>CONCATENATE("Totaal"," ",$C$49)</f>
        <v>Totaal Ontvangsten</v>
      </c>
      <c r="D63" s="10"/>
      <c r="E63" s="10"/>
      <c r="F63" s="10"/>
      <c r="G63" s="23" t="str">
        <f>IF(SUBTOTAL(9,$G$50:$G$62)&gt;=SUBTOTAL(9,$H$50:$H$62),SUBTOTAL(9,$G$50:$G$62)-SUBTOTAL(9,$H$50:$H$62),"")</f>
        <v/>
      </c>
      <c r="H63" s="23">
        <f>IF(SUBTOTAL(9,$G$50:$G$62)&lt;SUBTOTAL(9,$H$50:$H$62),SUBTOTAL(9,$H$50:$H$62)-SUBTOTAL(9,$G$50:$G$62),"")</f>
        <v>24852.109999999997</v>
      </c>
      <c r="I63" s="23" t="str">
        <f>IF(SUBTOTAL(9,$I$50:$I$62)&gt;=SUBTOTAL(9,$J$50:$J$62),SUBTOTAL(9,$I$50:$I$62)-SUBTOTAL(9,$J$50:$J$62),"")</f>
        <v/>
      </c>
      <c r="J63" s="23">
        <f>IF(SUBTOTAL(9,$I$50:$I$62)&lt;SUBTOTAL(9,$J$50:$J$62),SUBTOTAL(9,$J$50:$J$62)-SUBTOTAL(9,$I$50:$I$62),"")</f>
        <v>29720.409999999996</v>
      </c>
      <c r="K63" s="24">
        <f>IF(ROUND(N($I$63),3) - ROUND(N($J$63),3)=0,0,(N($G$63)-N($H$63)-N($I$63)+N($J$63))/(N($I$63)-N($J$63)))</f>
        <v>-0.16380325843418714</v>
      </c>
    </row>
    <row r="64" spans="1:11" outlineLevel="2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</row>
    <row r="65" spans="1:11" outlineLevel="1" x14ac:dyDescent="0.25">
      <c r="A65" s="10"/>
      <c r="B65" s="22" t="str">
        <f>CONCATENATE("Totaal"," ",$B$48)</f>
        <v>Totaal Opbrengsten</v>
      </c>
      <c r="C65" s="10"/>
      <c r="D65" s="10"/>
      <c r="E65" s="10"/>
      <c r="F65" s="10"/>
      <c r="G65" s="23" t="str">
        <f>IF(SUBTOTAL(9,$G$49:$G$64)&gt;=SUBTOTAL(9,$H$49:$H$64),SUBTOTAL(9,$G$49:$G$64)-SUBTOTAL(9,$H$49:$H$64),"")</f>
        <v/>
      </c>
      <c r="H65" s="23">
        <f>IF(SUBTOTAL(9,$G$49:$G$64)&lt;SUBTOTAL(9,$H$49:$H$64),SUBTOTAL(9,$H$49:$H$64)-SUBTOTAL(9,$G$49:$G$64),"")</f>
        <v>24852.109999999997</v>
      </c>
      <c r="I65" s="23" t="str">
        <f>IF(SUBTOTAL(9,$I$49:$I$64)&gt;=SUBTOTAL(9,$J$49:$J$64),SUBTOTAL(9,$I$49:$I$64)-SUBTOTAL(9,$J$49:$J$64),"")</f>
        <v/>
      </c>
      <c r="J65" s="23">
        <f>IF(SUBTOTAL(9,$I$49:$I$64)&lt;SUBTOTAL(9,$J$49:$J$64),SUBTOTAL(9,$J$49:$J$64)-SUBTOTAL(9,$I$49:$I$64),"")</f>
        <v>29720.409999999996</v>
      </c>
      <c r="K65" s="24">
        <f>IF(ROUND(N($I$65),3) - ROUND(N($J$65),3)=0,0,(N($G$65)-N($H$65)-N($I$65)+N($J$65))/(N($I$65)-N($J$65)))</f>
        <v>-0.16380325843418714</v>
      </c>
    </row>
    <row r="66" spans="1:11" outlineLevel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</row>
    <row r="67" spans="1:11" x14ac:dyDescent="0.25">
      <c r="A67" s="22" t="str">
        <f>CONCATENATE("Totaal"," ",$A$13)</f>
        <v>Totaal Resultatenrekening</v>
      </c>
      <c r="B67" s="10"/>
      <c r="C67" s="10"/>
      <c r="D67" s="10"/>
      <c r="E67" s="10"/>
      <c r="F67" s="10"/>
      <c r="G67" s="23" t="str">
        <f>IF(SUBTOTAL(9,$G$14:$G$66)&gt;=SUBTOTAL(9,$H$14:$H$66),SUBTOTAL(9,$G$14:$G$66)-SUBTOTAL(9,$H$14:$H$66),"")</f>
        <v/>
      </c>
      <c r="H67" s="23">
        <f>IF(SUBTOTAL(9,$G$14:$G$66)&lt;SUBTOTAL(9,$H$14:$H$66),SUBTOTAL(9,$H$14:$H$66)-SUBTOTAL(9,$G$14:$G$66),"")</f>
        <v>268.7899999999936</v>
      </c>
      <c r="I67" s="23" t="str">
        <f>IF(SUBTOTAL(9,$I$14:$I$66)&gt;=SUBTOTAL(9,$J$14:$J$66),SUBTOTAL(9,$I$14:$I$66)-SUBTOTAL(9,$J$14:$J$66),"")</f>
        <v/>
      </c>
      <c r="J67" s="23">
        <f>IF(SUBTOTAL(9,$I$14:$I$66)&lt;SUBTOTAL(9,$J$14:$J$66),SUBTOTAL(9,$J$14:$J$66)-SUBTOTAL(9,$I$14:$I$66),"")</f>
        <v>6116.6899999999951</v>
      </c>
      <c r="K67" s="24">
        <f>IF(ROUND(N($I$67),3) - ROUND(N($J$67),3)=0,0,(N($G$67)-N($H$67)-N($I$67)+N($J$67))/(N($I$67)-N($J$67)))</f>
        <v>-0.95605629842284079</v>
      </c>
    </row>
    <row r="68" spans="1:1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</row>
    <row r="69" spans="1:11" x14ac:dyDescent="0.25">
      <c r="A69" s="22" t="str">
        <f>IF(SUBTOTAL(9,$G$13:$G$68)&lt;SUBTOTAL(9,$H$13:$H$68),"Winstsaldo","Saldoverlies")</f>
        <v>Winstsaldo</v>
      </c>
      <c r="B69" s="10"/>
      <c r="C69" s="10"/>
      <c r="D69" s="10"/>
      <c r="E69" s="10"/>
      <c r="F69" s="10"/>
      <c r="G69" s="23">
        <f>IF(SUBTOTAL(9,$G$13:$G$68)&lt;=SUBTOTAL(9,$H$13:$H$68),SUBTOTAL(9,$H$13:$H$68)-SUBTOTAL(9,$G$13:$G$68),"")</f>
        <v>268.7899999999936</v>
      </c>
      <c r="H69" s="23" t="str">
        <f>IF(SUBTOTAL(9,$G$13:$G$68)&gt;SUBTOTAL(9,$H$13:$H$68),SUBTOTAL(9,$G$13:$G$68)-SUBTOTAL(9,$H$13:$H$68),"")</f>
        <v/>
      </c>
      <c r="I69" s="23">
        <f>IF(SUBTOTAL(9,$I$13:$I$68)&lt;=SUBTOTAL(9,$J$13:$J$68),SUBTOTAL(9,$J$13:$J$68)-SUBTOTAL(9,$I$13:$I$68),"")</f>
        <v>6116.6899999999951</v>
      </c>
      <c r="J69" s="23" t="str">
        <f>IF(SUBTOTAL(9,$I$13:$I$68)&gt;SUBTOTAL(9,$J$13:$J$68),SUBTOTAL(9,$I$13:$I$68)-SUBTOTAL(9,$J$13:$J$68),"")</f>
        <v/>
      </c>
      <c r="K69" s="24">
        <f>IF(ROUND(N($I$69),3) - ROUND(N($J$69),3)=0,0,(N($G$69)-N($H$69)-N($I$69)+N($J$69))/(N($I$69)-N($J$69)))</f>
        <v>-0.95605629842284079</v>
      </c>
    </row>
    <row r="70" spans="1:1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</row>
    <row r="71" spans="1:11" x14ac:dyDescent="0.25">
      <c r="A71" s="25" t="s">
        <v>107</v>
      </c>
      <c r="B71" s="26"/>
      <c r="C71" s="26"/>
      <c r="D71" s="26"/>
      <c r="E71" s="26"/>
      <c r="F71" s="26"/>
      <c r="G71" s="27">
        <f>SUM($G$67,$G$69)</f>
        <v>268.7899999999936</v>
      </c>
      <c r="H71" s="27">
        <f>SUM($H$67,$H$69)</f>
        <v>268.7899999999936</v>
      </c>
      <c r="I71" s="27">
        <f>SUM($I$67,$I$69)</f>
        <v>6116.6899999999951</v>
      </c>
      <c r="J71" s="27">
        <f>SUM($J$67,$J$69)</f>
        <v>6116.6899999999951</v>
      </c>
      <c r="K71" s="28"/>
    </row>
    <row r="72" spans="1:11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</row>
    <row r="73" spans="1:11" x14ac:dyDescent="0.25">
      <c r="A73" s="25" t="s">
        <v>108</v>
      </c>
      <c r="B73" s="26"/>
      <c r="C73" s="26"/>
      <c r="D73" s="26"/>
      <c r="E73" s="26"/>
      <c r="F73" s="26"/>
      <c r="G73" s="27">
        <f>Balans!$G$73+$G$71</f>
        <v>537.58000000096217</v>
      </c>
      <c r="H73" s="27">
        <f>Balans!$H$73+$H$71</f>
        <v>537.58000000096217</v>
      </c>
      <c r="I73" s="27">
        <f>Balans!$I$73+$I$71</f>
        <v>12233.379999999706</v>
      </c>
      <c r="J73" s="27">
        <f>Balans!$J$73+$J$71</f>
        <v>12233.379999999706</v>
      </c>
      <c r="K73" s="29">
        <f>Balans!$K$73+$K$71</f>
        <v>0</v>
      </c>
    </row>
  </sheetData>
  <mergeCells count="6">
    <mergeCell ref="A1:J1"/>
    <mergeCell ref="A2:J2"/>
    <mergeCell ref="A3:J3"/>
    <mergeCell ref="A5:E5"/>
    <mergeCell ref="A6:E6"/>
    <mergeCell ref="A7:E7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2" fitToHeight="0" orientation="portrait" horizontalDpi="0" verticalDpi="0" r:id="rId1"/>
  <headerFooter>
    <oddFooter>&amp;LWinst &amp; Verlies - Bj 2017, 004 Stichting Co Schippers Fonds&amp;R28-9-2018 10:25:51 Pagina &amp;P van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="80" zoomScaleNormal="80" workbookViewId="0">
      <selection sqref="A1:F1"/>
    </sheetView>
  </sheetViews>
  <sheetFormatPr defaultRowHeight="15" x14ac:dyDescent="0.25"/>
  <cols>
    <col min="1" max="1" width="22.7109375" customWidth="1"/>
    <col min="2" max="2" width="20.7109375" customWidth="1"/>
    <col min="3" max="9" width="16.7109375" customWidth="1"/>
    <col min="10" max="10" width="0" hidden="1" customWidth="1"/>
  </cols>
  <sheetData>
    <row r="1" spans="1:11" ht="19.5" x14ac:dyDescent="0.2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</row>
    <row r="2" spans="1:11" ht="19.5" x14ac:dyDescent="0.25">
      <c r="A2" s="1" t="s">
        <v>12</v>
      </c>
      <c r="B2" s="1"/>
      <c r="C2" s="1"/>
      <c r="D2" s="1"/>
      <c r="E2" s="1"/>
      <c r="F2" s="1"/>
      <c r="G2" s="2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"/>
      <c r="B4" s="2" t="s">
        <v>13</v>
      </c>
      <c r="C4" s="2" t="s">
        <v>4</v>
      </c>
      <c r="D4" s="2"/>
      <c r="E4" s="2"/>
      <c r="F4" s="2"/>
      <c r="G4" s="2"/>
      <c r="H4" s="2"/>
      <c r="I4" s="2"/>
      <c r="J4" s="2"/>
      <c r="K4" s="2"/>
    </row>
    <row r="5" spans="1:11" x14ac:dyDescent="0.25">
      <c r="A5" s="2" t="s">
        <v>14</v>
      </c>
      <c r="B5" s="4">
        <v>42736</v>
      </c>
      <c r="C5" s="4">
        <v>43100</v>
      </c>
      <c r="D5" s="2"/>
      <c r="E5" s="2"/>
      <c r="F5" s="2"/>
      <c r="G5" s="2"/>
      <c r="H5" s="2"/>
      <c r="I5" s="2"/>
      <c r="J5" s="2"/>
      <c r="K5" s="2"/>
    </row>
    <row r="6" spans="1:11" x14ac:dyDescent="0.25">
      <c r="A6" s="2" t="s">
        <v>15</v>
      </c>
      <c r="B6" s="8" t="s">
        <v>6</v>
      </c>
      <c r="C6" s="9" t="s">
        <v>7</v>
      </c>
      <c r="D6" s="2"/>
      <c r="E6" s="2"/>
      <c r="F6" s="2"/>
      <c r="G6" s="2"/>
      <c r="H6" s="2"/>
      <c r="I6" s="2"/>
      <c r="J6" s="2"/>
      <c r="K6" s="2"/>
    </row>
    <row r="7" spans="1:1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2" t="s">
        <v>16</v>
      </c>
      <c r="B8" s="8" t="s">
        <v>17</v>
      </c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2" t="s">
        <v>18</v>
      </c>
      <c r="B9" s="8">
        <v>0</v>
      </c>
      <c r="C9" s="2"/>
      <c r="D9" s="2"/>
      <c r="E9" s="2"/>
      <c r="F9" s="2"/>
      <c r="G9" s="2"/>
      <c r="H9" s="2"/>
      <c r="I9" s="2"/>
      <c r="J9" s="2"/>
      <c r="K9" s="2"/>
    </row>
    <row r="10" spans="1:11" x14ac:dyDescent="0.25">
      <c r="A10" s="2" t="s">
        <v>19</v>
      </c>
      <c r="B10" s="8">
        <v>1</v>
      </c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 t="s">
        <v>20</v>
      </c>
      <c r="B11" s="8" t="s">
        <v>21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2" t="s">
        <v>22</v>
      </c>
      <c r="B12" s="8" t="s">
        <v>21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2" t="s">
        <v>23</v>
      </c>
      <c r="B13" s="8">
        <v>2017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5">
      <c r="A14" s="2" t="s">
        <v>24</v>
      </c>
      <c r="B14" s="8" t="s">
        <v>2</v>
      </c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5">
      <c r="A15" s="2" t="s">
        <v>8</v>
      </c>
      <c r="B15" s="2" t="s">
        <v>9</v>
      </c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5">
      <c r="A16" s="2" t="s">
        <v>25</v>
      </c>
      <c r="B16" s="8" t="s">
        <v>26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2" t="s">
        <v>27</v>
      </c>
      <c r="B17" s="8" t="s">
        <v>28</v>
      </c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 t="s">
        <v>29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 t="s">
        <v>30</v>
      </c>
      <c r="B20" s="2" t="s">
        <v>31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2" t="s">
        <v>32</v>
      </c>
      <c r="B21" s="2" t="s">
        <v>33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5">
      <c r="A22" s="2" t="s">
        <v>34</v>
      </c>
      <c r="B22" s="2" t="s">
        <v>35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 t="s">
        <v>36</v>
      </c>
      <c r="B23" s="2" t="s">
        <v>37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</sheetData>
  <mergeCells count="2">
    <mergeCell ref="A1:F1"/>
    <mergeCell ref="A2:F2"/>
  </mergeCells>
  <pageMargins left="0.27777777777777779" right="0.27777777777777779" top="0.27777777777777779" bottom="0.41666666666666669" header="0.3" footer="0.1388888888888889"/>
  <pageSetup paperSize="9" fitToHeight="0" orientation="landscape" horizontalDpi="0" verticalDpi="0" r:id="rId1"/>
  <headerFooter>
    <oddFooter>&amp;LBalans - Selectiecriteria, 004 Stichting Co Schippers Fonds&amp;R28-9-2018 10:25:58 Pagina &amp;P van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5</vt:i4>
      </vt:variant>
    </vt:vector>
  </HeadingPairs>
  <TitlesOfParts>
    <vt:vector size="8" baseType="lpstr">
      <vt:lpstr>Balans</vt:lpstr>
      <vt:lpstr>Winst &amp; Verlies</vt:lpstr>
      <vt:lpstr>Criteria</vt:lpstr>
      <vt:lpstr>Balans!Afdrukbereik</vt:lpstr>
      <vt:lpstr>'Winst &amp; Verlies'!Afdrukbereik</vt:lpstr>
      <vt:lpstr>Balans!Afdruktitels</vt:lpstr>
      <vt:lpstr>Criteria!Afdruktitels</vt:lpstr>
      <vt:lpstr>'Winst &amp; Verlies'!Afdruktitels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Rutger Fiesler</dc:creator>
  <cp:lastModifiedBy>Rutger Fiesler</cp:lastModifiedBy>
  <dcterms:created xsi:type="dcterms:W3CDTF">2018-09-28T08:25:33Z</dcterms:created>
  <dcterms:modified xsi:type="dcterms:W3CDTF">2018-09-28T08:28:13Z</dcterms:modified>
</cp:coreProperties>
</file>